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mc:AlternateContent xmlns:mc="http://schemas.openxmlformats.org/markup-compatibility/2006">
    <mc:Choice Requires="x15">
      <x15ac:absPath xmlns:x15ac="http://schemas.microsoft.com/office/spreadsheetml/2010/11/ac" url="C:\Users\Basil Monkewitz\Nextcloud\ecobau\05_Instrumente\04_Zusatz_ECO\03_Hilfsmittel\05_Graue_Energie_THGE\Fragenkatalog_Graue_Energie-THGE\"/>
    </mc:Choice>
  </mc:AlternateContent>
  <xr:revisionPtr revIDLastSave="0" documentId="13_ncr:1_{B7634926-D765-410F-AA43-43D83B1C1C2F}" xr6:coauthVersionLast="47" xr6:coauthVersionMax="47" xr10:uidLastSave="{00000000-0000-0000-0000-000000000000}"/>
  <workbookProtection workbookAlgorithmName="SHA-512" workbookHashValue="zAeqSI7CmStsxQwVl7SstoBSMj86r1wxo31MwbyeY33yZ98TLpswjxgqTja72erLNrtubcZK0DiR9RcUjRvRDg==" workbookSaltValue="fFkM3Om296GdzKuWZH3OaQ==" workbookSpinCount="100000" lockStructure="1"/>
  <bookViews>
    <workbookView xWindow="1670" yWindow="710" windowWidth="36840" windowHeight="19870" tabRatio="703" xr2:uid="{00000000-000D-0000-FFFF-FFFF00000000}"/>
  </bookViews>
  <sheets>
    <sheet name="DE Fragenkatalog Erneuerung"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'DE Fragenkatalog Erneuerung'!$A$21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'DE Fragenkatalog Erneuerung'!$A$1:$E$27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'DE Fragenkatalog Erneuerung'!$D$19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'DE Fragenkatalog Erneuerung'!$E$19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<sst xmlns="http://schemas.openxmlformats.org/spreadsheetml/2006/main" count="5238" uniqueCount="2435">
  <si>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</si>
  <si>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</si>
  <si>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</si>
  <si>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</si>
  <si>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</si>
  <si>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</si>
  <si>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</si>
  <si>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</si>
  <si>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</si>
  <si>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</si>
  <si>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</si>
  <si>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</si>
  <si>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</si>
  <si>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</si>
  <si>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</si>
  <si>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</si>
  <si>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</si>
  <si>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</si>
  <si>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</si>
  <si>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</si>
  <si>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</si>
  <si>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</si>
  <si>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</si>
  <si>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</si>
  <si>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</si>
  <si>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</si>
  <si>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</si>
  <si>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</si>
  <si>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</si>
  <si>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</si>
  <si>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</si>
  <si>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</si>
  <si>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</si>
  <si>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</si>
  <si>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</si>
  <si>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</si>
  <si>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</si>
  <si>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</si>
  <si>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</si>
  <si>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</si>
  <si>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</si>
  <si>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</si>
  <si>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</si>
  <si>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</si>
  <si>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</si>
  <si>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</si>
  <si>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</si>
  <si>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</si>
  <si>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</si>
  <si>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</si>
  <si>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</si>
  <si>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</si>
  <si>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</si>
  <si>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</si>
  <si>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</si>
  <si>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</si>
  <si>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</si>
  <si>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</si>
  <si>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</si>
  <si>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</si>
  <si>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</si>
  <si>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</si>
  <si>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</si>
  <si>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</si>
  <si>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</si>
  <si>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</si>
  <si>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</si>
  <si>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</si>
  <si>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</si>
  <si>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</si>
  <si>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</si>
  <si>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</si>
  <si>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</si>
  <si>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</si>
  <si>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</si>
  <si>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</si>
  <si>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</si>
  <si>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</si>
  <si>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</si>
  <si>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</si>
  <si>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</si>
  <si>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</si>
  <si>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</si>
  <si>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</si>
  <si>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</si>
  <si>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</si>
  <si>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</si>
  <si>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</si>
  <si>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</si>
  <si>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</si>
  <si>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</si>
  <si>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</si>
  <si>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</si>
  <si>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</si>
  <si>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</si>
  <si>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</si>
  <si>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</si>
  <si>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</si>
  <si>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</si>
  <si>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</si>
  <si>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</si>
  <si>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</si>
  <si>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</si>
  <si>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</si>
  <si>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</si>
  <si>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</si>
  <si>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</si>
  <si>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</si>
  <si>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</si>
  <si>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</si>
  <si>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</si>
  <si>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</si>
  <si>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</si>
  <si>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</si>
  <si>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</si>
  <si>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</si>
  <si>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</si>
  <si>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</si>
  <si>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</si>
  <si>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</si>
  <si>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</si>
  <si>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</si>
  <si>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</si>
  <si>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</si>
  <si>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</si>
  <si>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</si>
  <si>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</si>
  <si>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</si>
  <si>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</si>
  <si>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</si>
  <si>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</si>
  <si>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</si>
  <si>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</si>
  <si>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</si>
  <si>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</si>
  <si>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</si>
  <si>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</si>
  <si>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</si>
  <si>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</si>
  <si>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</si>
  <si>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</si>
  <si>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</si>
  <si>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</si>
  <si>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</si>
  <si>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</si>
  <si>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</si>
  <si>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</si>
  <si>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</si>
  <si>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</si>
  <si>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</si>
  <si>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</si>
  <si>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</si>
  <si>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</si>
  <si>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</si>
  <si>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</si>
  <si>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</si>
  <si>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</si>
  <si>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</si>
  <si>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Die tragenden Bauteile des Gebäudes wurden nicht verändert (ausgenommen sind einzelne Durchbrüche bis 3 m2 Fläche in tragenden Wänden sowie Verstärkungen zur Erdbebenertüchtigung).</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</si>
  <si>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</si>
  <si>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</si>
  <si>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</si>
  <si>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</si>
  <si>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</si>
  <si>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</si>
  <si>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</si>
  <si>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</si>
  <si>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</si>
  <si>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</si>
  <si>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</si>
  <si>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</si>
  <si>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</si>
  <si>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</si>
  <si>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</si>
  <si>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</si>
  <si>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</si>
  <si>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</si>
  <si>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</si>
  <si>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</si>
  <si>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</si>
  <si>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</si>
  <si>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</si>
  <si>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</si>
  <si>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</si>
  <si>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</si>
  <si>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</si>
  <si>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</si>
  <si>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</si>
  <si>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</si>
  <si>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</si>
  <si>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</si>
  <si>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</si>
  <si>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</si>
  <si>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</si>
  <si>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</si>
  <si>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</si>
  <si>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</si>
  <si>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</si>
  <si>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</si>
  <si>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</si>
  <si>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</si>
  <si>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</si>
  <si>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</si>
  <si>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</si>
  <si>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</si>
  <si>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</si>
  <si>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</si>
  <si>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</si>
  <si>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</si>
  <si>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</si>
  <si>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</si>
  <si>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</si>
  <si>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</si>
  <si>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</si>
  <si>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</si>
  <si>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</si>
  <si>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</si>
  <si>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</si>
  <si>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</si>
  <si>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</si>
  <si>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</si>
  <si>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</si>
  <si>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</si>
  <si>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</si>
  <si>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</si>
  <si>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</si>
  <si>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</si>
  <si>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</si>
  <si>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</si>
  <si>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</si>
  <si>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</si>
  <si>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</si>
  <si>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</si>
  <si>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</si>
  <si>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</si>
  <si>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</si>
  <si>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</si>
  <si>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</si>
  <si>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</si>
  <si>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</si>
  <si>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</si>
  <si>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</si>
  <si>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</si>
  <si>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</si>
  <si>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</si>
  <si>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</si>
  <si>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</si>
  <si>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</si>
  <si>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</si>
  <si>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</si>
  <si>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</si>
  <si>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</si>
  <si>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</si>
  <si>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</si>
  <si>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</si>
  <si>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</si>
  <si>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</si>
  <si>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</si>
  <si>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</si>
  <si>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</si>
  <si>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</si>
  <si>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</si>
  <si>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</si>
  <si>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</si>
  <si>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</si>
  <si>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</si>
  <si>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</si>
  <si>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</si>
  <si>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</si>
  <si>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</si>
  <si>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</si>
  <si>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</si>
  <si>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</si>
  <si>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</si>
  <si>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</si>
  <si>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</si>
  <si>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</si>
  <si>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</si>
  <si>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</si>
  <si>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</si>
  <si>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</si>
  <si>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</si>
  <si>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</si>
  <si>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</si>
  <si>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</si>
  <si>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</si>
  <si>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</si>
  <si>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</si>
  <si>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</si>
  <si>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</si>
  <si>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</si>
  <si>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</si>
  <si>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</si>
  <si>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</si>
  <si>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</si>
  <si>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</si>
  <si>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</si>
  <si>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</si>
  <si>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</si>
  <si>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</si>
  <si>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</si>
  <si>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</si>
  <si>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</si>
  <si>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</si>
  <si>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</si>
  <si>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</si>
  <si>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</si>
  <si>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</si>
  <si>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</si>
  <si>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</si>
  <si>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</si>
  <si>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</si>
  <si>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</si>
  <si>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</si>
  <si>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</si>
  <si>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</si>
  <si>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</si>
  <si>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</si>
  <si>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</si>
  <si>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</si>
  <si>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</si>
  <si>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</si>
  <si>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</si>
  <si>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</si>
  <si>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</si>
  <si>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</si>
  <si>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</si>
  <si>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</si>
  <si>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</si>
  <si>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</si>
  <si>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</si>
  <si>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</si>
  <si>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</si>
  <si>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</si>
  <si>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</si>
  <si>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</si>
  <si>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</si>
  <si>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</si>
  <si>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</si>
  <si>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</si>
  <si>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</si>
  <si>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</si>
  <si>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</si>
  <si>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</si>
  <si>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</si>
  <si>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</si>
  <si>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</si>
  <si>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</si>
  <si>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</si>
  <si>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</si>
  <si>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</si>
  <si>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</si>
  <si>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</si>
  <si>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</si>
  <si>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</si>
  <si>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</si>
  <si>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</si>
  <si>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</si>
  <si>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</si>
  <si>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</si>
  <si>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</si>
  <si>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</si>
  <si>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</si>
  <si>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</si>
  <si>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</si>
  <si>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</si>
  <si>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</si>
  <si>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</si>
  <si>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</si>
  <si>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</si>
  <si>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</si>
  <si>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</si>
  <si>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</si>
  <si>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</si>
  <si>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</si>
  <si>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</si>
  <si>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</si>
  <si>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</si>
  <si>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</si>
  <si>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</si>
  <si>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</si>
  <si>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</si>
  <si>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</si>
  <si>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</si>
  <si>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</si>
  <si>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</si>
  <si>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</si>
  <si>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</si>
  <si>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</si>
  <si>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</si>
  <si>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</si>
  <si>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</si>
  <si>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</si>
  <si>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</si>
  <si>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</si>
  <si>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</si>
  <si>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</si>
  <si>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</si>
  <si>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</si>
  <si>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</si>
  <si>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</si>
  <si>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</si>
  <si>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</si>
  <si>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</si>
  <si>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</si>
  <si>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</si>
  <si>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</si>
  <si>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</si>
  <si>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</si>
  <si>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</si>
  <si>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</si>
  <si>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</si>
  <si>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</si>
  <si>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</si>
  <si>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</si>
  <si>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</si>
  <si>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</si>
  <si>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</si>
  <si>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</si>
  <si>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</si>
  <si>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</si>
  <si>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</si>
  <si>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</si>
  <si>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</si>
  <si>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</si>
  <si>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</si>
  <si>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</si>
  <si>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</si>
  <si>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</si>
  <si>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</si>
  <si>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</si>
  <si>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</si>
  <si>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</si>
  <si>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</si>
  <si>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</si>
  <si>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</si>
  <si>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</si>
  <si>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</si>
  <si>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</si>
  <si>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</si>
  <si>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</si>
  <si>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</si>
  <si>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</si>
  <si>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</si>
  <si>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</si>
  <si>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</si>
  <si>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</si>
  <si>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</si>
  <si>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</si>
  <si>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</si>
  <si>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</si>
  <si>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</si>
  <si>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</si>
  <si>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</si>
  <si>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</si>
  <si>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</si>
  <si>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</si>
  <si>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</si>
  <si>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</si>
  <si>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</si>
  <si>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</si>
  <si>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</si>
  <si>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</si>
  <si>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</si>
  <si>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</si>
  <si>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</si>
  <si>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</si>
  <si>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</si>
  <si>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</si>
  <si>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</si>
  <si>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</si>
  <si>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</si>
  <si>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</si>
  <si>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</si>
  <si>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</si>
  <si>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</si>
  <si>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</si>
  <si>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</si>
  <si>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</si>
  <si>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</si>
  <si>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</si>
  <si>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</si>
  <si>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</si>
  <si>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</si>
  <si>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</si>
  <si>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</si>
  <si>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</si>
  <si>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</si>
  <si>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</si>
  <si>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</si>
  <si>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</si>
  <si>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</si>
  <si>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</si>
  <si>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</si>
  <si>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</si>
  <si>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</si>
  <si>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</si>
  <si>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</si>
  <si>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</si>
  <si>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</si>
  <si>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</si>
  <si>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</si>
  <si>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</si>
  <si>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</si>
  <si>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</si>
  <si>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</si>
  <si>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</si>
  <si>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</si>
  <si>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</si>
  <si>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</si>
  <si>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</si>
  <si>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</si>
  <si>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</si>
  <si>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</si>
  <si>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</si>
  <si>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</si>
  <si>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</si>
  <si>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</si>
  <si>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</si>
  <si>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</si>
  <si>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</si>
  <si>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</si>
  <si>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</si>
  <si>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</si>
  <si>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</si>
  <si>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</si>
  <si>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</si>
  <si>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</si>
  <si>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</si>
  <si>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</si>
  <si>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</si>
  <si>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</si>
  <si>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</si>
  <si>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</si>
  <si>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</si>
  <si>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</si>
  <si>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</si>
  <si>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</si>
  <si>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</si>
  <si>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</si>
  <si>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</si>
  <si>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</si>
  <si>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</si>
  <si>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</si>
  <si>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</si>
  <si>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</si>
  <si>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</si>
  <si>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</si>
  <si>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</si>
  <si>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</si>
  <si>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</si>
  <si>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</si>
  <si>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</si>
  <si>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</si>
  <si>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</si>
  <si>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</si>
  <si>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</si>
  <si>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</si>
  <si>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</si>
  <si>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</si>
  <si>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</si>
  <si>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</si>
  <si>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</si>
  <si>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</si>
  <si>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</si>
  <si>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</si>
  <si>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</si>
  <si>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</si>
  <si>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</si>
  <si>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</si>
  <si>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</si>
  <si>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</si>
  <si>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</si>
  <si>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</si>
  <si>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</si>
  <si>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</si>
  <si>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</si>
  <si>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</si>
  <si>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</si>
  <si>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</si>
  <si>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</si>
  <si>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</si>
  <si>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</si>
  <si>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</si>
  <si>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</si>
  <si>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</si>
  <si>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</si>
  <si>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</si>
  <si>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</si>
  <si>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</si>
  <si>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</si>
  <si>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</si>
  <si>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</si>
  <si>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</si>
  <si>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</si>
  <si>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</si>
  <si>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</si>
  <si>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</si>
  <si>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</si>
  <si>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</si>
  <si>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</si>
  <si>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</si>
  <si>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</si>
  <si>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</si>
  <si>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</si>
  <si>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</si>
  <si>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</si>
  <si>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</si>
  <si>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</si>
  <si>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</si>
  <si>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</si>
  <si>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</si>
  <si>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</si>
  <si>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</si>
  <si>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</si>
  <si>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</si>
  <si>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</si>
  <si>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</si>
  <si>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</si>
  <si>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</si>
  <si>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</si>
  <si>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</si>
  <si>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</si>
  <si>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</si>
  <si>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</si>
  <si>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</si>
  <si>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</si>
  <si>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</si>
  <si>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</si>
  <si>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</si>
  <si>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</si>
  <si>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</si>
  <si>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</si>
  <si>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</si>
  <si>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</si>
  <si>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</si>
  <si>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</si>
  <si>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</si>
  <si>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</si>
  <si>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</si>
  <si>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</si>
  <si>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</si>
  <si>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</si>
  <si>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</si>
  <si>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</si>
  <si>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</si>
  <si>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</si>
  <si>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</si>
  <si>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</si>
  <si>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</si>
  <si>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</si>
  <si>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</si>
  <si>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</si>
  <si>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</si>
  <si>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</si>
  <si>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</si>
  <si>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</si>
  <si>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</si>
  <si>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</si>
  <si>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</si>
  <si>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</si>
  <si>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</si>
  <si>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</si>
  <si>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</si>
  <si>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</si>
  <si>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</si>
  <si>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</si>
  <si>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</si>
  <si>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</si>
  <si>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</si>
  <si>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</si>
  <si>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</si>
  <si>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</si>
  <si>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</si>
  <si>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</si>
  <si>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</si>
  <si>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</si>
  <si>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</si>
  <si>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</si>
  <si>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</si>
  <si>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</si>
  <si>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</si>
  <si>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</si>
  <si>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</si>
  <si>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</si>
  <si>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</si>
  <si>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</si>
  <si>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</si>
  <si>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</si>
  <si>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</si>
  <si>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</si>
  <si>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</si>
  <si>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</si>
  <si>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</si>
  <si>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</si>
  <si>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</si>
  <si>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</si>
  <si>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</si>
  <si>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</si>
  <si>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</si>
  <si>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</si>
  <si>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</si>
  <si>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</si>
  <si>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</si>
  <si>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</si>
  <si>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</si>
  <si>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</si>
  <si>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</si>
  <si>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</si>
  <si>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</si>
  <si>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</si>
  <si>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</si>
  <si>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</si>
  <si>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</si>
  <si>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</si>
  <si>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</si>
  <si>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</si>
  <si>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</si>
  <si>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</si>
  <si>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</si>
  <si>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</si>
  <si>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</si>
  <si>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</si>
  <si>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</si>
  <si>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</si>
  <si>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</si>
  <si>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</si>
  <si>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</si>
  <si>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</si>
  <si>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</si>
  <si>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</si>
  <si>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</si>
  <si>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</si>
  <si>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</si>
  <si>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</si>
  <si>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</si>
  <si>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</si>
  <si>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</si>
  <si>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</si>
  <si>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</si>
  <si>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</si>
  <si>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</si>
  <si>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</si>
  <si>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</si>
  <si>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</si>
  <si>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</si>
  <si>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</si>
  <si>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</si>
  <si>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</si>
  <si>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</si>
  <si>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</si>
  <si>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</si>
  <si>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</si>
  <si>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</si>
  <si>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</si>
  <si>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</si>
  <si>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</si>
  <si>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</si>
  <si>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</si>
  <si>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</si>
  <si>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</si>
  <si>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</si>
  <si>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</si>
  <si>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</si>
  <si>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</si>
  <si>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</si>
  <si>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</si>
  <si>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</si>
  <si>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</si>
  <si>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</si>
  <si>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</si>
  <si>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</si>
  <si>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</si>
  <si>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</si>
  <si>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</si>
  <si>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</si>
  <si>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</si>
  <si>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</si>
  <si>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</si>
  <si>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</si>
  <si>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</si>
  <si>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</si>
  <si>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</si>
  <si>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</si>
  <si>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</si>
  <si>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</si>
  <si>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</si>
  <si>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</si>
  <si>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</si>
  <si>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</si>
  <si>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</si>
  <si>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</si>
  <si>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</si>
  <si>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</si>
  <si>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</si>
  <si>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</si>
  <si>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</si>
  <si>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</si>
  <si>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</si>
  <si>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</si>
  <si>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</si>
  <si>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</si>
  <si>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</si>
  <si>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</si>
  <si>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</si>
  <si>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</si>
  <si>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</si>
  <si>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</si>
  <si>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</si>
  <si>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</si>
  <si>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</si>
  <si>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</si>
  <si>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</si>
  <si>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</si>
  <si>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</si>
  <si>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</si>
  <si>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</si>
  <si>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</si>
  <si>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</si>
  <si>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</si>
  <si>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</si>
  <si>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</si>
  <si>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</si>
  <si>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</si>
  <si>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</si>
  <si>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</si>
  <si>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</si>
  <si>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</si>
  <si>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</si>
  <si>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</si>
  <si>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</si>
  <si>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</si>
  <si>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</si>
  <si>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</si>
  <si>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</si>
  <si>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</si>
  <si>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</si>
  <si>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</si>
  <si>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</si>
  <si>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</si>
  <si>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</si>
  <si>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</si>
  <si>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</si>
  <si>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</si>
  <si>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</si>
  <si>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</si>
  <si>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</si>
  <si>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</si>
  <si>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</si>
  <si>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</si>
  <si>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</si>
  <si>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</si>
  <si>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</si>
  <si>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</si>
  <si>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</si>
  <si>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</si>
  <si>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</si>
  <si>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</si>
  <si>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</si>
  <si>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</si>
  <si>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</si>
  <si>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</si>
  <si>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</si>
  <si>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</si>
  <si>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</si>
  <si>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</si>
  <si>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</si>
  <si>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</si>
  <si>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</si>
  <si>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</si>
  <si>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</si>
  <si>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</si>
  <si>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</si>
  <si>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</si>
  <si>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</si>
  <si>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</si>
  <si>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</si>
  <si>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</si>
  <si>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</si>
  <si>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</si>
  <si>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</si>
  <si>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</si>
  <si>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</si>
  <si>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</si>
  <si>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</si>
  <si>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</si>
  <si>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</si>
  <si>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</si>
  <si>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</si>
  <si>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</si>
  <si>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</si>
  <si>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</si>
  <si>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</si>
  <si>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</si>
  <si>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</si>
  <si>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</si>
  <si>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</si>
  <si>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</si>
  <si>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</si>
  <si>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</si>
  <si>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</si>
  <si>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</si>
  <si>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</si>
  <si>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</si>
  <si>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</si>
  <si>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</si>
  <si>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</si>
  <si>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</si>
  <si>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</si>
  <si>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</si>
  <si>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</si>
  <si>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</si>
  <si>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</si>
  <si>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</si>
  <si>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</si>
  <si>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</si>
  <si>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</si>
  <si>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</si>
  <si>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</si>
  <si>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</si>
  <si>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</si>
  <si>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</si>
  <si>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</si>
  <si>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</si>
  <si>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</si>
  <si>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</si>
  <si>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</si>
  <si>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</si>
  <si>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</si>
  <si>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</si>
  <si>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</si>
  <si>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</si>
  <si>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</si>
  <si>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</si>
  <si>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</si>
  <si>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</si>
  <si>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</si>
  <si>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</si>
  <si>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</si>
  <si>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</si>
  <si>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</si>
  <si>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</si>
  <si>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</si>
  <si>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</si>
  <si>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</si>
  <si>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</si>
  <si>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</si>
  <si>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</si>
  <si>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</si>
  <si>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</si>
  <si>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</si>
  <si>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</si>
  <si>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</si>
  <si>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</si>
  <si>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</si>
  <si>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</si>
  <si>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</si>
  <si>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</si>
  <si>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</si>
  <si>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</si>
  <si>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</si>
  <si>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</si>
  <si>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</si>
  <si>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</si>
  <si>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</si>
  <si>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</si>
  <si>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</si>
  <si>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</si>
  <si>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</si>
  <si>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</si>
  <si>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</si>
  <si>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</si>
  <si>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</si>
  <si>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</si>
  <si>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</si>
  <si>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</si>
  <si>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</si>
  <si>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</si>
  <si>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</si>
  <si>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</si>
  <si>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</si>
  <si>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</si>
  <si>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</si>
  <si>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</si>
  <si>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</si>
  <si>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</si>
  <si>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</si>
  <si>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</si>
  <si>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</si>
  <si>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</si>
  <si>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</si>
  <si>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</si>
  <si>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</si>
  <si>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</si>
  <si>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</si>
  <si>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</si>
  <si>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</si>
  <si>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</si>
  <si>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</si>
  <si>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</si>
  <si>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</si>
  <si>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</si>
  <si>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</si>
  <si>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</si>
  <si>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</si>
  <si>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</si>
  <si>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</si>
  <si>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</si>
  <si>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</si>
  <si>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</si>
  <si>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</si>
  <si>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</si>
  <si>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</si>
  <si>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</si>
  <si>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</si>
  <si>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</si>
  <si>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</si>
  <si>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</si>
  <si>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</si>
  <si>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</si>
  <si>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</si>
  <si>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</si>
  <si>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</si>
  <si>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</si>
  <si>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</si>
  <si>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</si>
  <si>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</si>
  <si>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</si>
  <si>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</si>
  <si>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</si>
  <si>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</si>
  <si>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</si>
  <si>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</si>
  <si>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</si>
  <si>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</si>
  <si>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</si>
  <si>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</si>
  <si>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</si>
  <si>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</si>
  <si>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</si>
  <si>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</si>
  <si>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</si>
  <si>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</si>
  <si>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</si>
  <si>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</si>
  <si>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</si>
  <si>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</si>
  <si>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</si>
  <si>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</si>
  <si>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</si>
  <si>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</si>
  <si>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</si>
  <si>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</si>
  <si>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</si>
  <si>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</si>
  <si>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</si>
  <si>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</si>
  <si>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</si>
  <si>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</si>
  <si>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</si>
  <si>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</si>
  <si>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</si>
  <si>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</si>
  <si>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</si>
  <si>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</si>
  <si>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</si>
  <si>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</si>
  <si>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</si>
  <si>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</si>
  <si>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</si>
  <si>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</si>
  <si>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</si>
  <si>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</si>
  <si>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</si>
  <si>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</si>
  <si>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</si>
  <si>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</si>
  <si>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</si>
  <si>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</si>
  <si>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</si>
  <si>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</si>
  <si>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</si>
  <si>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</si>
  <si>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</si>
  <si>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</si>
  <si>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</si>
  <si>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</si>
  <si>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</si>
  <si>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</si>
  <si>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</si>
  <si>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</si>
  <si>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</si>
  <si>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</si>
  <si>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</si>
  <si>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</si>
  <si>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</si>
  <si>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</si>
  <si>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</si>
  <si>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</si>
  <si>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</si>
  <si>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</si>
  <si>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</si>
  <si>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</si>
  <si>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</si>
  <si>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</si>
  <si>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</si>
  <si>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</si>
  <si>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</si>
  <si>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</si>
  <si>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</si>
  <si>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</si>
  <si>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phoneticPr fontId="12" type="noConversion"/>
  </si>
  <si>
    <t xml:space="preserve">Le volume du bâtiment n'a pas été agrandi (mis à part les agrandissements résultant de couches d'isolation supplémentaires)
Ou
la surface de plancher du volume supplémentaire s'élève à moins de 20% de la surface existante de plancher. </t>
    <phoneticPr fontId="12" type="noConversion"/>
  </si>
  <si>
    <t>Fenêtres</t>
    <phoneticPr fontId="12" type="noConversion"/>
  </si>
  <si>
    <t>Les surfaces vitrées de la façade et de la toiture ont été agrandies de 20% au maximum
et
Les cadres des fenêtres remplacées ou fenêtres nouvelles sont en bois ou bois-métal.</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</si>
  <si>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</si>
  <si>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</si>
  <si>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</si>
  <si>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</si>
  <si>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</si>
  <si>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</si>
  <si>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</si>
  <si>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</si>
  <si>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</si>
  <si>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</si>
  <si>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</si>
  <si>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</si>
  <si>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</si>
  <si>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</si>
  <si>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</si>
  <si>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</si>
  <si>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</si>
  <si>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</si>
  <si>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</si>
  <si>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</si>
  <si>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</si>
  <si>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</si>
  <si>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</si>
  <si>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</si>
  <si>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</si>
  <si>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</si>
  <si>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</si>
  <si>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</si>
  <si>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</si>
  <si>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</si>
  <si>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</si>
  <si>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</si>
  <si>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</si>
  <si>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</si>
  <si>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</si>
  <si>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</si>
  <si>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</si>
  <si>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</si>
  <si>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</si>
  <si>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</si>
  <si>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</si>
  <si>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</si>
  <si>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</si>
  <si>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</si>
  <si>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</si>
  <si>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</si>
  <si>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</si>
  <si>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</si>
  <si>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</si>
  <si>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</si>
  <si>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</si>
  <si>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</si>
  <si>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</si>
  <si>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</si>
  <si>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</si>
  <si>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</si>
  <si>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</si>
  <si>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</si>
  <si>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</si>
  <si>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</si>
  <si>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</si>
  <si>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</si>
  <si>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</si>
  <si>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</si>
  <si>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</si>
  <si>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</si>
  <si>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</si>
  <si>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</si>
  <si>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</si>
  <si>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</si>
  <si>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</si>
  <si>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</si>
  <si>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</si>
  <si>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</si>
  <si>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</si>
  <si>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</si>
  <si>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</si>
  <si>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</si>
  <si>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</si>
  <si>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</si>
  <si>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</si>
  <si>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</si>
  <si>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</si>
  <si>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</si>
  <si>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</si>
  <si>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</si>
  <si>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</si>
  <si>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</si>
  <si>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</si>
  <si>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</si>
  <si>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</si>
  <si>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</si>
  <si>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</si>
  <si>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</si>
  <si>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</si>
  <si>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</si>
  <si>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</si>
  <si>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</si>
  <si>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</si>
  <si>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</si>
  <si>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</si>
  <si>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</si>
  <si>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</si>
  <si>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</si>
  <si>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</si>
  <si>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</si>
  <si>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</si>
  <si>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</si>
  <si>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</si>
  <si>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</si>
  <si>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</si>
  <si>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</si>
  <si>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</si>
  <si>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</si>
  <si>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</si>
  <si>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</si>
  <si>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</si>
  <si>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</si>
  <si>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</si>
  <si>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</si>
  <si>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</si>
  <si>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</si>
  <si>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</si>
  <si>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</si>
  <si>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</si>
  <si>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</si>
  <si>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</si>
  <si>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</si>
  <si>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</si>
  <si>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</si>
  <si>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</si>
  <si>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</si>
  <si>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</si>
  <si>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</si>
  <si>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</si>
  <si>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</si>
  <si>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</si>
  <si>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</si>
  <si>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</si>
  <si>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</si>
  <si>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</si>
  <si>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</si>
  <si>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</si>
  <si>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</si>
  <si>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</si>
  <si>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</si>
  <si>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</si>
  <si>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</si>
  <si>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</si>
  <si>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</si>
  <si>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</si>
  <si>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</si>
  <si>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</si>
  <si>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</si>
  <si>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</si>
  <si>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</si>
  <si>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</si>
  <si>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</si>
  <si>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</si>
  <si>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</si>
  <si>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</si>
  <si>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</si>
  <si>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</si>
  <si>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</si>
  <si>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</si>
  <si>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</si>
  <si>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</si>
  <si>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</si>
  <si>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</si>
  <si>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</si>
  <si>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</si>
  <si>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</si>
  <si>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</si>
  <si>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</si>
  <si>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</si>
  <si>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</si>
  <si>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</si>
  <si>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</si>
  <si>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</si>
  <si>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</si>
  <si>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</si>
  <si>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</si>
  <si>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</si>
  <si>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</si>
  <si>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</si>
  <si>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</si>
  <si>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</si>
  <si>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</si>
  <si>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</si>
  <si>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</si>
  <si>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</si>
  <si>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</si>
  <si>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</si>
  <si>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</si>
  <si>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</si>
  <si>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</si>
  <si>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</si>
  <si>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</si>
  <si>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</si>
  <si>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</si>
  <si>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</si>
  <si>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</si>
  <si>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</si>
  <si>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</si>
  <si>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</si>
  <si>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</si>
  <si>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</si>
  <si>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</si>
  <si>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</si>
  <si>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</si>
  <si>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</si>
  <si>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</si>
  <si>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</si>
  <si>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</si>
  <si>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</si>
  <si>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</si>
  <si>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</si>
  <si>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</si>
  <si>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</si>
  <si>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</si>
  <si>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</si>
  <si>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</si>
  <si>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</si>
  <si>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</si>
  <si>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</si>
  <si>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</si>
  <si>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</si>
  <si>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</si>
  <si>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</si>
  <si>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</si>
  <si>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</si>
  <si>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</si>
  <si>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</si>
  <si>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</si>
  <si>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</si>
  <si>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</si>
  <si>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</si>
  <si>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</si>
  <si>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</si>
  <si>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</si>
  <si>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</si>
  <si>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</si>
  <si>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</si>
  <si>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</si>
  <si>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</si>
  <si>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</si>
  <si>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</si>
  <si>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</si>
  <si>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</si>
  <si>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</si>
  <si>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</si>
  <si>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</si>
  <si>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</si>
  <si>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</si>
  <si>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</si>
  <si>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</si>
  <si>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</si>
  <si>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</si>
  <si>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</si>
  <si>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</si>
  <si>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</si>
  <si>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</si>
  <si>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</si>
  <si>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</si>
  <si>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</si>
  <si>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</si>
  <si>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</si>
  <si>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</si>
  <si>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</si>
  <si>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</si>
  <si>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</si>
  <si>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</si>
  <si>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</si>
  <si>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</si>
  <si>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</si>
  <si>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</si>
  <si>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</si>
  <si>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</si>
  <si>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</si>
  <si>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</si>
  <si>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</si>
  <si>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</si>
  <si>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</si>
  <si>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</si>
  <si>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</si>
  <si>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</si>
  <si>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</si>
  <si>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</si>
  <si>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</si>
  <si>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</si>
  <si>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</si>
  <si>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</si>
  <si>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</si>
  <si>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</si>
  <si>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</si>
  <si>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</si>
  <si>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</si>
  <si>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</si>
  <si>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</si>
  <si>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</si>
  <si>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</si>
  <si>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</si>
  <si>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</si>
  <si>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</si>
  <si>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</si>
  <si>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</si>
  <si>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</si>
  <si>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</si>
  <si>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</si>
  <si>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</si>
  <si>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</si>
  <si>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</si>
  <si>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</si>
  <si>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</si>
  <si>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</si>
  <si>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</si>
  <si>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</si>
  <si>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</si>
  <si>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</si>
  <si>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</si>
  <si>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</si>
  <si>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</si>
  <si>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</si>
  <si>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</si>
  <si>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</si>
  <si>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</si>
  <si>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</si>
  <si>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</si>
  <si>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</si>
  <si>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</si>
  <si>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</si>
  <si>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</si>
  <si>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</si>
  <si>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</si>
  <si>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</si>
  <si>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</si>
  <si>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</si>
  <si>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</si>
  <si>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</si>
  <si>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</si>
  <si>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</si>
  <si>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</si>
  <si>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</si>
  <si>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</si>
  <si>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</si>
  <si>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</si>
  <si>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</si>
  <si>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</si>
  <si>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</si>
  <si>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</si>
  <si>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</si>
  <si>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</si>
  <si>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</si>
  <si>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</si>
  <si>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</si>
  <si>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</si>
  <si>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</si>
  <si>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</si>
  <si>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</si>
  <si>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</si>
  <si>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</si>
  <si>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</si>
  <si>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</si>
  <si>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</si>
  <si>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</si>
  <si>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</si>
  <si>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</si>
  <si>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</si>
  <si>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</si>
  <si>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</si>
  <si>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</si>
  <si>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</si>
  <si>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</si>
  <si>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</si>
  <si>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</si>
  <si>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</si>
  <si>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</si>
  <si>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</si>
  <si>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</si>
  <si>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</si>
  <si>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</si>
  <si>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</si>
  <si>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</si>
  <si>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</si>
  <si>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</si>
  <si>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</si>
  <si>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</si>
  <si>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</si>
  <si>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</si>
  <si>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</si>
  <si>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</si>
  <si>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</si>
  <si>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</si>
  <si>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</si>
  <si>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</si>
  <si>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</si>
  <si>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</si>
  <si>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</si>
  <si>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</si>
  <si>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</si>
  <si>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</si>
  <si>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</si>
  <si>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</si>
  <si>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</si>
  <si>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</si>
  <si>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</si>
  <si>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</si>
  <si>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</si>
  <si>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</si>
  <si>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</si>
  <si>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</si>
  <si>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</si>
  <si>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</si>
  <si>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</si>
  <si>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</si>
  <si>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</si>
  <si>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</si>
  <si>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</si>
  <si>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</si>
  <si>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</si>
  <si>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</si>
  <si>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</si>
  <si>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</si>
  <si>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</si>
  <si>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</si>
  <si>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</si>
  <si>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</si>
  <si>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</si>
  <si>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</si>
  <si>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</si>
  <si>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</si>
  <si>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</si>
  <si>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</si>
  <si>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</si>
  <si>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</si>
  <si>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</si>
  <si>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</si>
  <si>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</si>
  <si>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</si>
  <si>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</si>
  <si>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</si>
  <si>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</si>
  <si>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</si>
  <si>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</si>
  <si>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</si>
  <si>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</si>
  <si>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</si>
  <si>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</si>
  <si>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</si>
  <si>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</si>
  <si>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</si>
  <si>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</si>
  <si>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</si>
  <si>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</si>
  <si>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</si>
  <si>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</si>
  <si>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</si>
  <si>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</si>
  <si>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</si>
  <si>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</si>
  <si>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</si>
  <si>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</si>
  <si>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</si>
  <si>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</si>
  <si>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</si>
  <si>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</si>
  <si>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</si>
  <si>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</si>
  <si>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</si>
  <si>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</si>
  <si>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</si>
  <si>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</si>
  <si>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</si>
  <si>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</si>
  <si>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</si>
  <si>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</si>
  <si>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</si>
  <si>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</si>
  <si>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</si>
  <si>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</si>
  <si>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</si>
  <si>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</si>
  <si>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</si>
  <si>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</si>
  <si>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</si>
  <si>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</si>
  <si>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</si>
  <si>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</si>
  <si>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</si>
  <si>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</si>
  <si>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</si>
  <si>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</si>
  <si>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</si>
  <si>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</si>
  <si>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</si>
  <si>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</si>
  <si>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</si>
  <si>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</si>
  <si>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</si>
  <si>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</si>
  <si>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</si>
  <si>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</si>
  <si>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</si>
  <si>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</si>
  <si>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</si>
  <si>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</si>
  <si>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</si>
  <si>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</si>
  <si>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</si>
  <si>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</si>
  <si>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</si>
  <si>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</si>
  <si>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</si>
  <si>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</si>
  <si>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</si>
  <si>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</si>
  <si>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</si>
  <si>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</si>
  <si>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</si>
  <si>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</si>
  <si>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</si>
  <si>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</si>
  <si>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</si>
  <si>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</si>
  <si>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</si>
  <si>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</si>
  <si>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</si>
  <si>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</si>
  <si>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</si>
  <si>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</si>
  <si>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</si>
  <si>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</si>
  <si>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</si>
  <si>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</si>
  <si>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</si>
  <si>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</si>
  <si>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</si>
  <si>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</si>
  <si>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</si>
  <si>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</si>
  <si>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</si>
  <si>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</si>
  <si>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</si>
  <si>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</si>
  <si>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</si>
  <si>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</si>
  <si>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</si>
  <si>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</si>
  <si>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</si>
  <si>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</si>
  <si>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</si>
  <si>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</si>
  <si>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</si>
  <si>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</si>
  <si>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</si>
  <si>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</si>
  <si>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</si>
  <si>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</si>
  <si>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</si>
  <si>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</si>
  <si>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</si>
  <si>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</si>
  <si>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</si>
  <si>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</si>
  <si>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</si>
  <si>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</si>
  <si>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</si>
  <si>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</si>
  <si>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</si>
  <si>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</si>
  <si>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</si>
  <si>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</si>
  <si>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</si>
  <si>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</si>
  <si>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</si>
  <si>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</si>
  <si>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</si>
  <si>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</si>
  <si>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</si>
  <si>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</si>
  <si>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</si>
  <si>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</si>
  <si>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</si>
  <si>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</si>
  <si>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</si>
  <si>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</si>
  <si>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</si>
  <si>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</si>
  <si>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</si>
  <si>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</si>
  <si>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</si>
  <si>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</si>
  <si>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</si>
  <si>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</si>
  <si>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</si>
  <si>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</si>
  <si>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</si>
  <si>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</si>
  <si>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</si>
  <si>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</si>
  <si>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</si>
  <si>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</si>
  <si>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</si>
  <si>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</si>
  <si>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</si>
  <si>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</si>
  <si>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</si>
  <si>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</si>
  <si>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</si>
  <si>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</si>
  <si>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</si>
  <si>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</si>
  <si>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</si>
  <si>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</si>
  <si>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</si>
  <si>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</si>
  <si>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</si>
  <si>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</si>
  <si>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</si>
  <si>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</si>
  <si>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</si>
  <si>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</si>
  <si>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</si>
  <si>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</si>
  <si>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</si>
  <si>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</si>
  <si>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</si>
  <si>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</si>
  <si>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</si>
  <si>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</si>
  <si>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</si>
  <si>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</si>
  <si>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</si>
  <si>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</si>
  <si>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</si>
  <si>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</si>
  <si>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</si>
  <si>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</si>
  <si>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</si>
  <si>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</si>
  <si>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</si>
  <si>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</si>
  <si>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</si>
  <si>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</si>
  <si>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</si>
  <si>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</si>
  <si>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</si>
  <si>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</si>
  <si>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</si>
  <si>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</si>
  <si>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</si>
  <si>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</si>
  <si>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</si>
  <si>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</si>
  <si>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</si>
  <si>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</si>
  <si>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</si>
  <si>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</si>
  <si>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</si>
  <si>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</si>
  <si>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</si>
  <si>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</si>
  <si>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</si>
  <si>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</si>
  <si>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</si>
  <si>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</si>
  <si>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</si>
  <si>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</si>
  <si>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</si>
  <si>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</si>
  <si>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</si>
  <si>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</si>
  <si>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</si>
  <si>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</si>
  <si>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Agrandisse-ments</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</si>
  <si>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</si>
  <si>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</si>
  <si>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</si>
  <si>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</si>
  <si>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</si>
  <si>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</si>
  <si>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</si>
  <si>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</si>
  <si>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</si>
  <si>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</si>
  <si>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</si>
  <si>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</si>
  <si>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</si>
  <si>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</si>
  <si>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</si>
  <si>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</si>
  <si>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</si>
  <si>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</si>
  <si>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</si>
  <si>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</si>
  <si>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</si>
  <si>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</si>
  <si>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</si>
  <si>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</si>
  <si>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</si>
  <si>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</si>
  <si>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</si>
  <si>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</si>
  <si>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</si>
  <si>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</si>
  <si>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</si>
  <si>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</si>
  <si>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</si>
  <si>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</si>
  <si>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</si>
  <si>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</si>
  <si>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</si>
  <si>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</si>
  <si>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</si>
  <si>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</si>
  <si>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</si>
  <si>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</si>
  <si>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</si>
  <si>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</si>
  <si>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</si>
  <si>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</si>
  <si>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</si>
  <si>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</si>
  <si>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</si>
  <si>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</si>
  <si>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</si>
  <si>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</si>
  <si>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</si>
  <si>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</si>
  <si>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</si>
  <si>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</si>
  <si>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</si>
  <si>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</si>
  <si>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</si>
  <si>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</si>
  <si>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</si>
  <si>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</si>
  <si>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</si>
  <si>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</si>
  <si>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</si>
  <si>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</si>
  <si>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</si>
  <si>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</si>
  <si>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</si>
  <si>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</si>
  <si>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</si>
  <si>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</si>
  <si>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</si>
  <si>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</si>
  <si>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</si>
  <si>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</si>
  <si>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</si>
  <si>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</si>
  <si>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</si>
  <si>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</si>
  <si>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</si>
  <si>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</si>
  <si>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</si>
  <si>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</si>
  <si>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</si>
  <si>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</si>
  <si>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</si>
  <si>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</si>
  <si>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</si>
  <si>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</si>
  <si>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</si>
  <si>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</si>
  <si>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</si>
  <si>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</si>
  <si>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</si>
  <si>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</si>
  <si>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</si>
  <si>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</si>
  <si>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</si>
  <si>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</si>
  <si>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</si>
  <si>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</si>
  <si>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</si>
  <si>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</si>
  <si>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</si>
  <si>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</si>
  <si>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</si>
  <si>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</si>
  <si>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</si>
  <si>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</si>
  <si>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</si>
  <si>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</si>
  <si>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</si>
  <si>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</si>
  <si>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</si>
  <si>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</si>
  <si>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</si>
  <si>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</si>
  <si>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</si>
  <si>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</si>
  <si>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</si>
  <si>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</si>
  <si>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</si>
  <si>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</si>
  <si>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</si>
  <si>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</si>
  <si>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</si>
  <si>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</si>
  <si>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</si>
  <si>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</si>
  <si>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</si>
  <si>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</si>
  <si>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</si>
  <si>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</si>
  <si>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</si>
  <si>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</si>
  <si>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</si>
  <si>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</si>
  <si>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</si>
  <si>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</si>
  <si>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</si>
  <si>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</si>
  <si>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</si>
  <si>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</si>
  <si>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</si>
  <si>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</si>
  <si>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</si>
  <si>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</si>
  <si>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</si>
  <si>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</si>
  <si>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</si>
  <si>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</si>
  <si>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</si>
  <si>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</si>
  <si>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</si>
  <si>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</si>
  <si>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</si>
  <si>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</si>
  <si>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</si>
  <si>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</si>
  <si>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</si>
  <si>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</si>
  <si>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</si>
  <si>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</si>
  <si>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</si>
  <si>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</si>
  <si>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</si>
  <si>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</si>
  <si>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</si>
  <si>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</si>
  <si>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</si>
  <si>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</si>
  <si>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</si>
  <si>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</si>
  <si>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</si>
  <si>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</si>
  <si>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</si>
  <si>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</si>
  <si>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</si>
  <si>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</si>
  <si>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</si>
  <si>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</si>
  <si>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</si>
  <si>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</si>
  <si>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</si>
  <si>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</si>
  <si>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</si>
  <si>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</si>
  <si>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</si>
  <si>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</si>
  <si>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</si>
  <si>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</si>
  <si>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</si>
  <si>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</si>
  <si>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</si>
  <si>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</si>
  <si>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</si>
  <si>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</si>
  <si>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</si>
  <si>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</si>
  <si>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</si>
  <si>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</si>
  <si>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</si>
  <si>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</si>
  <si>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</si>
  <si>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</si>
  <si>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</si>
  <si>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</si>
  <si>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</si>
  <si>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</si>
  <si>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</si>
  <si>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</si>
  <si>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</si>
  <si>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</si>
  <si>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</si>
  <si>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</si>
  <si>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</si>
  <si>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</si>
  <si>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</si>
  <si>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</si>
  <si>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</si>
  <si>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</si>
  <si>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</si>
  <si>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</si>
  <si>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</si>
  <si>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</si>
  <si>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</si>
  <si>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</si>
  <si>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</si>
  <si>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</si>
  <si>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</si>
  <si>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</si>
  <si>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</si>
  <si>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</si>
  <si>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</si>
  <si>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</si>
  <si>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</si>
  <si>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</si>
  <si>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</si>
  <si>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</si>
  <si>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</si>
  <si>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</si>
  <si>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</si>
  <si>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</si>
  <si>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</si>
  <si>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</si>
  <si>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</si>
  <si>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</si>
  <si>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</si>
  <si>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</si>
  <si>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</si>
  <si>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</si>
  <si>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</si>
  <si>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</si>
  <si>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</si>
  <si>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</si>
  <si>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</si>
  <si>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</si>
  <si>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</si>
  <si>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</si>
  <si>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</si>
  <si>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</si>
  <si>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</si>
  <si>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</si>
  <si>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</si>
  <si>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</si>
  <si>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</si>
  <si>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</si>
  <si>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</si>
  <si>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</si>
  <si>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</si>
  <si>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</si>
  <si>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</si>
  <si>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</si>
  <si>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</si>
  <si>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</si>
  <si>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</si>
  <si>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</si>
  <si>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</si>
  <si>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</si>
  <si>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</si>
  <si>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</si>
  <si>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</si>
  <si>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</si>
  <si>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</si>
  <si>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</si>
  <si>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</si>
  <si>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</si>
  <si>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</si>
  <si>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</si>
  <si>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</si>
  <si>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</si>
  <si>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</si>
  <si>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</si>
  <si>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</si>
  <si>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</si>
  <si>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</si>
  <si>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</si>
  <si>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</si>
  <si>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</si>
  <si>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</si>
  <si>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</si>
  <si>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</si>
  <si>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</si>
  <si>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</si>
  <si>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</si>
  <si>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</si>
  <si>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</si>
  <si>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</si>
  <si>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</si>
  <si>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</si>
  <si>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</si>
  <si>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</si>
  <si>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</si>
  <si>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</si>
  <si>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</si>
  <si>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</si>
  <si>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</si>
  <si>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</si>
  <si>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</si>
  <si>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</si>
  <si>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</si>
  <si>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</si>
  <si>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</si>
  <si>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</si>
  <si>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</si>
  <si>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</si>
  <si>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</si>
  <si>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</si>
  <si>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</si>
  <si>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</si>
  <si>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</si>
  <si>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</si>
  <si>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</si>
  <si>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</si>
  <si>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</si>
  <si>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</si>
  <si>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</si>
  <si>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</si>
  <si>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</si>
  <si>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</si>
  <si>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</si>
  <si>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</si>
  <si>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</si>
  <si>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</si>
  <si>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</si>
  <si>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</si>
  <si>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</si>
  <si>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</si>
  <si>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</si>
  <si>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</si>
  <si>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</si>
  <si>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</si>
  <si>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</si>
  <si>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</si>
  <si>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</si>
  <si>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</si>
  <si>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</si>
  <si>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</si>
  <si>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</si>
  <si>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</si>
  <si>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</si>
  <si>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</si>
  <si>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</si>
  <si>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</si>
  <si>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</si>
  <si>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</si>
  <si>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</si>
  <si>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</si>
  <si>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</si>
  <si>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</si>
  <si>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</si>
  <si>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</si>
  <si>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</si>
  <si>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</si>
  <si>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</si>
  <si>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</si>
  <si>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</si>
  <si>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</si>
  <si>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</si>
  <si>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</si>
  <si>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</si>
  <si>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</si>
  <si>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</si>
  <si>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</si>
  <si>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</si>
  <si>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</si>
  <si>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</si>
  <si>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</si>
  <si>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</si>
  <si>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</si>
  <si>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</si>
  <si>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</si>
  <si>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</si>
  <si>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</si>
  <si>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</si>
  <si>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</si>
  <si>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</si>
  <si>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</si>
  <si>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</si>
  <si>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</si>
  <si>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</si>
  <si>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</si>
  <si>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</si>
  <si>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</si>
  <si>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</si>
  <si>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</si>
  <si>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</si>
  <si>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</si>
  <si>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</si>
  <si>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</si>
  <si>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</si>
  <si>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</si>
  <si>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</si>
  <si>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</si>
  <si>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</si>
  <si>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</si>
  <si>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</si>
  <si>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</si>
  <si>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</si>
  <si>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</si>
  <si>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</si>
  <si>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</si>
  <si>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</si>
  <si>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</si>
  <si>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</si>
  <si>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</si>
  <si>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</si>
  <si>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</si>
  <si>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</si>
  <si>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</si>
  <si>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</si>
  <si>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</si>
  <si>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</si>
  <si>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</si>
  <si>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</si>
  <si>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</si>
  <si>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</si>
  <si>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</si>
  <si>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</si>
  <si>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</si>
  <si>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</si>
  <si>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</si>
  <si>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</si>
  <si>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</si>
  <si>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</si>
  <si>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</si>
  <si>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</si>
  <si>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</si>
  <si>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</si>
  <si>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</si>
  <si>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</si>
  <si>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</si>
  <si>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</si>
  <si>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</si>
  <si>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</si>
  <si>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</si>
  <si>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</si>
  <si>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</si>
  <si>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</si>
  <si>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</si>
  <si>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</si>
  <si>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</si>
  <si>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</si>
  <si>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</si>
  <si>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</si>
  <si>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</si>
  <si>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</si>
  <si>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</si>
  <si>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</si>
  <si>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</si>
  <si>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</si>
  <si>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</si>
  <si>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</si>
  <si>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</si>
  <si>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</si>
  <si>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</si>
  <si>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</si>
  <si>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</si>
  <si>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</si>
  <si>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</si>
  <si>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</si>
  <si>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</si>
  <si>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</si>
  <si>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</si>
  <si>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</si>
  <si>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</si>
  <si>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</si>
  <si>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</si>
  <si>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</si>
  <si>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</si>
  <si>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</si>
  <si>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</si>
  <si>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</si>
  <si>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</si>
  <si>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</si>
  <si>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</si>
  <si>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</si>
  <si>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</si>
  <si>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</si>
  <si>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</si>
  <si>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</si>
  <si>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</si>
  <si>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</si>
  <si>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</si>
  <si>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</si>
  <si>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</si>
  <si>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</si>
  <si>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</si>
  <si>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</si>
  <si>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</si>
  <si>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</si>
  <si>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</si>
  <si>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</si>
  <si>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</si>
  <si>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</si>
  <si>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</si>
  <si>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</si>
  <si>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</si>
  <si>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</si>
  <si>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</si>
  <si>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</si>
  <si>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</si>
  <si>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</si>
  <si>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</si>
  <si>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</si>
  <si>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</si>
  <si>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</si>
  <si>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</si>
  <si>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</si>
  <si>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</si>
  <si>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</si>
  <si>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</si>
  <si>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</si>
  <si>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</si>
  <si>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</si>
  <si>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</si>
  <si>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</si>
  <si>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</si>
  <si>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</si>
  <si>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</si>
  <si>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</si>
  <si>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</si>
  <si>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</si>
  <si>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</si>
  <si>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</si>
  <si>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</si>
  <si>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</si>
  <si>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</si>
  <si>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</si>
  <si>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</si>
  <si>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</si>
  <si>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</si>
  <si>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</si>
  <si>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</si>
  <si>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</si>
  <si>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</si>
  <si>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</si>
  <si>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</si>
  <si>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</si>
  <si>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</si>
  <si>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</si>
  <si>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</si>
  <si>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</si>
  <si>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</si>
  <si>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</si>
  <si>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</si>
  <si>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</si>
  <si>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</si>
  <si>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</si>
  <si>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</si>
  <si>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</si>
  <si>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</si>
  <si>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</si>
  <si>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</si>
  <si>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</si>
  <si>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</si>
  <si>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</si>
  <si>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</si>
  <si>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</si>
  <si>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</si>
  <si>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</si>
  <si>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</si>
  <si>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</si>
  <si>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</si>
  <si>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</si>
  <si>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</si>
  <si>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</si>
  <si>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</si>
  <si>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</si>
  <si>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</si>
  <si>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</si>
  <si>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</si>
  <si>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</si>
  <si>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</si>
  <si>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</si>
  <si>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</si>
  <si>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</si>
  <si>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</si>
  <si>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</si>
  <si>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</si>
  <si>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</si>
  <si>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</si>
  <si>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</si>
  <si>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</si>
  <si>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</si>
  <si>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</si>
  <si>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</si>
  <si>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</si>
  <si>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</si>
  <si>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</si>
  <si>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</si>
  <si>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</si>
  <si>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</si>
  <si>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</si>
  <si>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</si>
  <si>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</si>
  <si>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</si>
  <si>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</si>
  <si>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</si>
  <si>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</si>
  <si>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</si>
  <si>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</si>
  <si>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Questionario ammodernamenti per l'energia grigia/GES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</si>
  <si>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</si>
  <si>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</si>
  <si>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</si>
  <si>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</si>
  <si>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</si>
  <si>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</si>
  <si>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</si>
  <si>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</si>
  <si>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</si>
  <si>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</si>
  <si>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</si>
  <si>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</si>
  <si>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</si>
  <si>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</si>
  <si>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</si>
  <si>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Objekt:</t>
  </si>
  <si>
    <t>Verantwortlich:</t>
  </si>
  <si>
    <t>Datum, Unterschrift:</t>
  </si>
  <si>
    <t xml:space="preserve">Die Fensterflächen in der Fassade und dem Dach wurden maximal um 20% vergrössert und die Rahmen von ersetzten oder neuen Fenstern bestehen aus Holz oder Holz-Metall. 
</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</si>
  <si>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</si>
  <si>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 xml:space="preserve">Das Gebäudevolumen wurde nicht vergrössert (ausgenommen sind Vergrösserungen, die sich durch zusätzliche Dämmschichten ergeben).
Oder die Geschossfläche des zusätzlichen Volumens beträgt nicht mehr als 20% der bestehenden Geschossfläche.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</si>
</sst>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5" fillId="5" borderId="0" xfId="0" applyFont="1" applyFill="1" applyAlignment="1">
      <alignment horizontal="left" vertical="top"/>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9" fillId="5" borderId="0" xfId="0" applyFont="1" applyFill="1" applyAlignment="1">
      <alignment horizontal="left" vertical="center" wrapText="1"/>
    </xf>
    <xf numFmtId="0" fontId="55" fillId="5" borderId="3" xfId="0" applyFont="1" applyFill="1" applyBorder="1" applyAlignment="1">
      <alignment horizontal="left" vertical="top"/>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3515625" defaultRowHeight="14"/>
  <cols>
    <col min="1" max="1" width="15.53515625" style="87" customWidth="1"/>
    <col min="2" max="2" width="25.53515625" style="87" customWidth="1"/>
    <col min="3" max="4" width="15.53515625" style="87" customWidth="1"/>
    <col min="5" max="5" width="10.53515625" style="87" customWidth="1"/>
    <col min="6" max="16384" width="11.53515625" style="87"/>
  </cols>
  <sheetData>
    <row r="1" spans="1:5" s="12" customFormat="1" ht="18">
      <c r="A1" s="88" t="str">
        <f>VLOOKUP(ADDRESS(ROW(),COLUMN(),4),MatrixTexteT4,2,FALSE)</f>
        <v>Fragenkatalog Erneuerung Graue Energie/THGE</v>
      </c>
      <c r="B1" s="89"/>
      <c r="C1" s="89"/>
      <c r="D1" s="89"/>
      <c r="E1" s="90"/>
    </row>
    <row r="3" spans="1:5">
      <c r="A3" s="96" t="str">
        <f>VLOOKUP(ADDRESS(ROW(),COLUMN(),4),MatrixTexteT4,2,FALSE)</f>
        <v>Fragen</v>
      </c>
      <c r="B3" s="97"/>
      <c r="C3" s="97"/>
      <c r="D3" s="97"/>
      <c r="E3" s="98" t="str">
        <f>VLOOKUP(ADDRESS(ROW(),COLUMN(),4),MatrixTexteT4,2,FALSE)</f>
        <v>Antwort</v>
      </c>
    </row>
    <row r="4" spans="1:5" s="85" customFormat="1">
      <c r="A4" s="91"/>
      <c r="B4" s="91"/>
      <c r="C4" s="91"/>
      <c r="D4" s="91"/>
      <c r="E4" s="91"/>
    </row>
    <row r="5" spans="1:5" s="85" customFormat="1" ht="42.65" customHeight="1">
      <c r="A5" s="100" t="str">
        <f>VLOOKUP(ADDRESS(ROW(),COLUMN(),4),MatrixTexteT4,2,FALSE)</f>
        <v>Objektgrösse</v>
      </c>
      <c r="B5" s="105" t="str">
        <f>VLOOKUP(ADDRESS(ROW(),COLUMN(),4),MatrixTexteT4,2,FALSE)</f>
        <v>Das Objekt ist ein Wohngebäude mit einer Energiebezugsfläche von weniger als 5'000 m2 oder ein anderer Gebäudetyp mit einer Energiebezugsfläche von weniger als 2'000 m2.</v>
      </c>
      <c r="C5" s="105"/>
      <c r="D5" s="106"/>
      <c r="E5" s="101"/>
    </row>
    <row r="6" spans="1:5" s="85" customFormat="1">
      <c r="A6" s="92"/>
      <c r="B6" s="104"/>
      <c r="C6" s="104"/>
      <c r="D6" s="108"/>
      <c r="E6" s="93"/>
    </row>
    <row r="7" spans="1:5" s="85" customFormat="1" ht="42.65" customHeight="1">
      <c r="A7" s="100" t="str">
        <f>VLOOKUP(ADDRESS(ROW(),COLUMN(),4),MatrixTexteT4,2,FALSE)</f>
        <v>Kompaktheit</v>
      </c>
      <c r="B7" s="105" t="str">
        <f>VLOOKUP(ADDRESS(ROW(),COLUMN(),4),MatrixTexteT4,2,FALSE)</f>
        <v>Die Kompaktheit des Gebäudes (Verhältnis zwischen thermischer Hüllfläche Ath und Energie-bezugsfläche AE) ist gleich geblieben oder hat sich verbessert.</v>
      </c>
      <c r="C7" s="105"/>
      <c r="D7" s="106"/>
      <c r="E7" s="101"/>
    </row>
    <row r="8" spans="1:5" s="85" customFormat="1">
      <c r="A8" s="92"/>
      <c r="B8" s="104"/>
      <c r="C8" s="104"/>
      <c r="D8" s="108"/>
      <c r="E8" s="93"/>
    </row>
    <row r="9" spans="1:5" s="85" customFormat="1" ht="28.4" customHeight="1">
      <c r="A9" s="100" t="str">
        <f>VLOOKUP(ADDRESS(ROW(),COLUMN(),4),MatrixTexteT4,2,FALSE)</f>
        <v>Eingriffstiefe</v>
      </c>
      <c r="B9" s="105" t="str">
        <f>VLOOKUP(ADDRESS(ROW(),COLUMN(),4),MatrixTexteT4,2,FALSE)</f>
        <v>Der überwiegende Teil der bestehenden Bauteile werden beibehalten (keine Auskernung, kein Rückbau auf den Rohbau).</v>
      </c>
      <c r="C9" s="105"/>
      <c r="D9" s="106"/>
      <c r="E9" s="101"/>
    </row>
    <row r="10" spans="1:5" s="85" customFormat="1">
      <c r="A10" s="92"/>
      <c r="B10" s="104"/>
      <c r="C10" s="104"/>
      <c r="D10" s="108"/>
      <c r="E10" s="93"/>
    </row>
    <row r="11" spans="1:5" s="85" customFormat="1" ht="127.9" customHeight="1">
      <c r="A11" s="100" t="str">
        <f>VLOOKUP(ADDRESS(ROW(),COLUMN(),4),MatrixTexteT4,2,FALSE)</f>
        <v>Konstruktion Aussenwände über Terrain und Dach</v>
      </c>
      <c r="B11" s="105" t="str">
        <f>VLOOKUP(ADDRESS(ROW(),COLUMN(),4),MatrixTexteT4,2,FALSE)</f>
        <v>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v>
      </c>
      <c r="C11" s="105"/>
      <c r="D11" s="106"/>
      <c r="E11" s="101"/>
    </row>
    <row r="12" spans="1:5" s="85" customFormat="1">
      <c r="A12" s="92"/>
      <c r="B12" s="104"/>
      <c r="C12" s="104"/>
      <c r="D12" s="108"/>
      <c r="E12" s="93"/>
    </row>
    <row r="13" spans="1:5" s="85" customFormat="1" ht="56.75" customHeight="1">
      <c r="A13" s="100" t="str">
        <f>VLOOKUP(ADDRESS(ROW(),COLUMN(),4),MatrixTexteT4,2,FALSE)</f>
        <v>Erweiterungen</v>
      </c>
      <c r="B13" s="105" t="str">
        <f>VLOOKUP(ADDRESS(ROW(),COLUMN(),4),MatrixTexteT4,2,FALSE)</f>
        <v xml:space="preserve">Das Gebäudevolumen wurde nicht vergrössert (ausgenommen sind Vergrösserungen, die sich durch zusätzliche Dämmschichten ergeben).
Oder die Geschossfläche des zusätzlichen Volumens beträgt nicht mehr als 20% der bestehenden Geschossfläche.
</v>
      </c>
      <c r="C13" s="105"/>
      <c r="D13" s="106"/>
      <c r="E13" s="101"/>
    </row>
    <row r="14" spans="1:5" s="85" customFormat="1">
      <c r="A14" s="92"/>
      <c r="B14" s="104"/>
      <c r="C14" s="104"/>
      <c r="D14" s="108"/>
      <c r="E14" s="93"/>
    </row>
    <row r="15" spans="1:5" s="85" customFormat="1" ht="42.65" customHeight="1">
      <c r="A15" s="100" t="str">
        <f>VLOOKUP(ADDRESS(ROW(),COLUMN(),4),MatrixTexteT4,2,FALSE)</f>
        <v>Fenster</v>
      </c>
      <c r="B15" s="105" t="str">
        <f>VLOOKUP(ADDRESS(ROW(),COLUMN(),4),MatrixTexteT4,2,FALSE)</f>
        <v xml:space="preserve">Die Fensterflächen in der Fassade und dem Dach wurden maximal um 20% vergrössert und die Rahmen von ersetzten oder neuen Fenstern bestehen aus Holz oder Holz-Metall. 
</v>
      </c>
      <c r="C15" s="105"/>
      <c r="D15" s="106"/>
      <c r="E15" s="101"/>
    </row>
    <row r="16" spans="1:5" s="85" customFormat="1">
      <c r="A16" s="92"/>
      <c r="B16" s="104"/>
      <c r="C16" s="104"/>
      <c r="D16" s="104"/>
      <c r="E16" s="94"/>
    </row>
    <row r="17" spans="1:5" s="85" customFormat="1" ht="42.65" customHeight="1">
      <c r="A17" s="100" t="str">
        <f>VLOOKUP(ADDRESS(ROW(),COLUMN(),4),MatrixTexteT4,2,FALSE)</f>
        <v>Anpassung Tragstruktur</v>
      </c>
      <c r="B17" s="105" t="str">
        <f>VLOOKUP(ADDRESS(ROW(),COLUMN(),4),MatrixTexteT4,2,FALSE)</f>
        <v>Die tragenden Bauteile des Gebäudes wurden nicht verändert (ausgenommen sind einzelne Durchbrüche bis 3 m2 Fläche in tragenden Wänden sowie Verstärkungen zur Erdbebenertüchtigung).</v>
      </c>
      <c r="C17" s="105"/>
      <c r="D17" s="106"/>
      <c r="E17" s="101"/>
    </row>
    <row r="18" spans="1:5" s="85" customFormat="1">
      <c r="A18" s="95"/>
      <c r="B18" s="95"/>
      <c r="C18" s="95"/>
      <c r="D18" s="95"/>
      <c r="E18" s="94"/>
    </row>
    <row r="19" spans="1:5" s="85" customFormat="1">
      <c r="A19" s="96" t="str">
        <f>VLOOKUP(ADDRESS(ROW(),COLUMN(),4),MatrixTexteT4,2,FALSE)</f>
        <v>Resultat</v>
      </c>
      <c r="B19" s="97"/>
      <c r="C19" s="97"/>
      <c r="D19" s="99" t="str">
        <f>IF(COUNTA(A5:A17)=COUNTA(E5:E17),Ja,Nein)</f>
        <v>Nein</v>
      </c>
      <c r="E19" s="99" t="str">
        <f>IF(AND(E5=Ja,E7=Ja,E9=Ja,E11=Ja,E13=Ja,E15=Ja, E17=Ja),Ja,Nein)</f>
        <v>Nein</v>
      </c>
    </row>
    <row r="20" spans="1:5" s="85" customFormat="1">
      <c r="A20" s="91"/>
      <c r="B20" s="91"/>
      <c r="C20" s="91"/>
      <c r="D20" s="91"/>
      <c r="E20" s="91"/>
    </row>
    <row r="21" spans="1:5" s="85" customFormat="1">
      <c r="A21" s="107" t="str">
        <f>IF(QuestComplete=Nein,Texte!$B$109,IF(ResQuest=Ja,Texte!$B$107,Texte!$B$108))</f>
        <v>Bitte füllen Sie diesen Fragebogen vollständig aus.</v>
      </c>
      <c r="B21" s="107"/>
      <c r="C21" s="107"/>
      <c r="D21" s="107"/>
      <c r="E21" s="107"/>
    </row>
    <row r="22" spans="1:5" s="85" customFormat="1">
      <c r="A22" s="91"/>
      <c r="B22" s="91"/>
      <c r="C22" s="91"/>
      <c r="D22" s="91"/>
      <c r="E22" s="91"/>
    </row>
    <row r="23" spans="1:5" s="85" customFormat="1">
      <c r="A23" s="85" t="s">
        <v>2429</v>
      </c>
      <c r="B23" s="102"/>
      <c r="C23" s="102"/>
      <c r="D23" s="102"/>
      <c r="E23" s="102"/>
    </row>
    <row r="24" spans="1:5" s="85" customFormat="1">
      <c r="B24" s="91"/>
      <c r="C24" s="91"/>
      <c r="D24" s="91"/>
      <c r="E24" s="91"/>
    </row>
    <row r="25" spans="1:5">
      <c r="A25" s="87" t="s">
        <v>2430</v>
      </c>
      <c r="B25" s="103"/>
      <c r="C25" s="103"/>
      <c r="D25" s="103"/>
      <c r="E25" s="103"/>
    </row>
    <row r="27" spans="1:5">
      <c r="A27" s="87" t="s">
        <v>2431</v>
      </c>
      <c r="B27" s="103"/>
      <c r="C27" s="103"/>
      <c r="D27" s="103"/>
      <c r="E27" s="103"/>
    </row>
    <row r="82" spans="1:4">
      <c r="A82" s="86">
        <v>5</v>
      </c>
      <c r="B82" s="86"/>
      <c r="C82" s="86"/>
      <c r="D82" s="86"/>
    </row>
  </sheetData>
  <sheetProtection algorithmName="SHA-512" hashValue="8qbM1PLPpO1LfjuYufNPbsNJRer1Gkd9ycbammvSFAIA3BQzhUQIlCn92Bww+Sjv+PWVjM3Ok55HxUH99s7Lhg==" saltValue="b0OdJFnrYStEkTKdBq5RjA==" spinCount="100000" sheet="1"/>
  <mergeCells count="17">
    <mergeCell ref="B15:D15"/>
    <mergeCell ref="B5:D5"/>
    <mergeCell ref="B6:D6"/>
    <mergeCell ref="B7:D7"/>
    <mergeCell ref="B8:D8"/>
    <mergeCell ref="B9:D9"/>
    <mergeCell ref="B10:D10"/>
    <mergeCell ref="B11:D11"/>
    <mergeCell ref="B12:D12"/>
    <mergeCell ref="B13:D13"/>
    <mergeCell ref="B14:D14"/>
    <mergeCell ref="B23:E23"/>
    <mergeCell ref="B25:E25"/>
    <mergeCell ref="B27:E27"/>
    <mergeCell ref="B16:D16"/>
    <mergeCell ref="B17:D17"/>
    <mergeCell ref="A21:E21"/>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&amp;L&amp;9Zusatz ECO&amp;R&amp;9Fragenkatalog Erneuerung</oddHeader>
    <oddFooter>&amp;L&amp;9Druck vom &amp;D&amp;C&amp;9https://www.minergie.ch/de/zertifizieren/eco/&amp;R&amp;9&amp;P/&amp;N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5" sqref="B5"/>
    </sheetView>
  </sheetViews>
  <sheetFormatPr baseColWidth="10" defaultColWidth="11.53515625" defaultRowHeight="11.5"/>
  <cols>
    <col min="1" max="1" width="31" style="5" customWidth="1"/>
    <col min="2" max="2" width="41.15234375" style="5" customWidth="1"/>
    <col min="3" max="3" width="11.69140625" style="5" customWidth="1"/>
    <col min="4" max="4" width="14.765625" style="5" customWidth="1"/>
    <col min="5" max="5" width="17.15234375" style="5" customWidth="1"/>
    <col min="6" max="6" width="12.4609375" style="5" bestFit="1" customWidth="1"/>
    <col min="7" max="7" width="14.3046875" style="5" customWidth="1"/>
    <col min="8" max="8" width="12.69140625" style="5" customWidth="1"/>
    <col min="9" max="13" width="9.53515625" style="5" customWidth="1"/>
    <col min="14" max="14" width="9.69140625" style="5" customWidth="1"/>
    <col min="15" max="20" width="7.15234375" style="5" customWidth="1"/>
    <col min="21" max="16384" width="11.53515625" style="5"/>
  </cols>
  <sheetData>
    <row r="1" spans="1:12" ht="22.5">
      <c r="A1" s="11" t="s">
        <v>35</v>
      </c>
      <c r="B1" s="12"/>
      <c r="C1" s="12"/>
      <c r="D1" s="12"/>
      <c r="E1" s="12"/>
    </row>
    <row r="2" spans="1:12" ht="9" customHeight="1">
      <c r="A2" s="11"/>
      <c r="B2" s="12"/>
      <c r="C2" s="12"/>
      <c r="D2" s="12"/>
      <c r="E2" s="12"/>
    </row>
    <row r="3" spans="1:12" ht="13">
      <c r="A3" s="10" t="s">
        <v>9</v>
      </c>
      <c r="B3" s="10" t="s">
        <v>104</v>
      </c>
      <c r="C3" s="10" t="s">
        <v>105</v>
      </c>
      <c r="D3" s="10" t="s">
        <v>106</v>
      </c>
      <c r="E3" s="10" t="s">
        <v>107</v>
      </c>
      <c r="F3" s="10" t="s">
        <v>304</v>
      </c>
      <c r="G3" s="10" t="s">
        <v>305</v>
      </c>
      <c r="H3" s="10" t="s">
        <v>306</v>
      </c>
      <c r="I3" s="10" t="s">
        <v>347</v>
      </c>
      <c r="J3" s="10" t="s">
        <v>348</v>
      </c>
      <c r="K3" s="10" t="s">
        <v>349</v>
      </c>
      <c r="L3" s="10" t="s">
        <v>350</v>
      </c>
    </row>
    <row r="5" spans="1:12">
      <c r="A5" s="3" t="s">
        <v>128</v>
      </c>
      <c r="B5" s="13" t="s">
        <v>13</v>
      </c>
    </row>
    <row r="6" spans="1:12">
      <c r="A6" s="3"/>
    </row>
    <row r="7" spans="1:12">
      <c r="A7" s="3" t="s">
        <v>127</v>
      </c>
      <c r="B7" s="5" t="s">
        <v>129</v>
      </c>
    </row>
    <row r="8" spans="1:12">
      <c r="A8" s="3"/>
    </row>
    <row r="9" spans="1:12" ht="12.5">
      <c r="A9" s="3" t="s">
        <v>64</v>
      </c>
      <c r="B9" s="1" t="str">
        <f>Texte!$B$378</f>
        <v>Ja</v>
      </c>
      <c r="D9" s="6"/>
    </row>
    <row r="10" spans="1:12" ht="12.5">
      <c r="A10" s="5" t="s">
        <v>64</v>
      </c>
      <c r="B10" s="1" t="str">
        <f>Texte!$B$379</f>
        <v>Nein</v>
      </c>
      <c r="D10" s="6"/>
    </row>
    <row r="11" spans="1:12">
      <c r="A11" s="3"/>
      <c r="D11" s="6"/>
    </row>
    <row r="12" spans="1:12">
      <c r="A12" s="3" t="s">
        <v>115</v>
      </c>
      <c r="B12" s="5" t="s">
        <v>115</v>
      </c>
      <c r="D12" s="6"/>
    </row>
    <row r="13" spans="1:12">
      <c r="A13" s="3"/>
      <c r="B13" s="5" t="s">
        <v>336</v>
      </c>
      <c r="D13" s="6"/>
    </row>
    <row r="14" spans="1:12">
      <c r="A14" s="3"/>
      <c r="D14" s="6"/>
    </row>
    <row r="15" spans="1:12">
      <c r="A15" s="3" t="s">
        <v>221</v>
      </c>
      <c r="B15" s="5" t="str">
        <f>Texte!B372</f>
        <v>Neubau</v>
      </c>
    </row>
    <row r="16" spans="1:12">
      <c r="B16" s="5" t="str">
        <f>Texte!B373</f>
        <v>Modernisierung</v>
      </c>
    </row>
    <row r="18" spans="1:4">
      <c r="A18" s="3" t="s">
        <v>220</v>
      </c>
      <c r="B18" s="5" t="s">
        <v>218</v>
      </c>
    </row>
    <row r="19" spans="1:4">
      <c r="B19" s="5" t="s">
        <v>219</v>
      </c>
    </row>
    <row r="21" spans="1:4">
      <c r="A21" s="3" t="s">
        <v>288</v>
      </c>
      <c r="B21" s="5" t="s">
        <v>289</v>
      </c>
      <c r="C21" s="5" t="s">
        <v>313</v>
      </c>
    </row>
    <row r="22" spans="1:4">
      <c r="B22" s="5" t="s">
        <v>2410</v>
      </c>
      <c r="C22" s="5" t="s">
        <v>314</v>
      </c>
    </row>
    <row r="23" spans="1:4">
      <c r="B23" s="5" t="s">
        <v>290</v>
      </c>
      <c r="C23" s="5" t="s">
        <v>315</v>
      </c>
    </row>
    <row r="24" spans="1:4">
      <c r="B24" s="5" t="s">
        <v>291</v>
      </c>
      <c r="C24" s="5" t="s">
        <v>313</v>
      </c>
    </row>
    <row r="26" spans="1:4">
      <c r="C26" s="3" t="s">
        <v>340</v>
      </c>
    </row>
    <row r="27" spans="1:4">
      <c r="A27" s="4" t="s">
        <v>1682</v>
      </c>
      <c r="B27" s="4" t="s">
        <v>140</v>
      </c>
      <c r="C27" s="4" t="s">
        <v>1665</v>
      </c>
      <c r="D27" s="4" t="s">
        <v>1666</v>
      </c>
    </row>
    <row r="28" spans="1:4" ht="12.5">
      <c r="A28" s="5" t="s">
        <v>1679</v>
      </c>
      <c r="B28" s="2" t="str">
        <f>Texte!$B$113</f>
        <v>Wohnen MFH</v>
      </c>
      <c r="C28" s="5">
        <v>90</v>
      </c>
      <c r="D28" s="5">
        <v>130</v>
      </c>
    </row>
    <row r="29" spans="1:4" ht="12.5">
      <c r="B29" s="2" t="str">
        <f>Texte!$B$114</f>
        <v>Kleine Wohnbauten</v>
      </c>
      <c r="C29" s="5">
        <v>100</v>
      </c>
      <c r="D29" s="5">
        <v>145</v>
      </c>
    </row>
    <row r="30" spans="1:4" ht="12.5">
      <c r="B30" s="2" t="str">
        <f>Texte!$B$115</f>
        <v>Verwaltung</v>
      </c>
      <c r="C30" s="5">
        <v>110</v>
      </c>
      <c r="D30" s="5">
        <v>150</v>
      </c>
    </row>
    <row r="31" spans="1:4" ht="12.5">
      <c r="B31" s="2" t="str">
        <f>Texte!$B$116</f>
        <v>Schule</v>
      </c>
      <c r="C31" s="5">
        <v>90</v>
      </c>
      <c r="D31" s="5">
        <v>130</v>
      </c>
    </row>
    <row r="32" spans="1:4" ht="12.5">
      <c r="B32" s="2" t="str">
        <f>Texte!$B$117</f>
        <v>Verkauf</v>
      </c>
      <c r="C32" s="5">
        <v>170</v>
      </c>
      <c r="D32" s="5">
        <v>210</v>
      </c>
    </row>
    <row r="33" spans="1:6" ht="12.5">
      <c r="B33" s="2" t="str">
        <f>Texte!$B$118</f>
        <v>Restaurant</v>
      </c>
      <c r="C33" s="5">
        <v>120</v>
      </c>
      <c r="D33" s="5">
        <v>160</v>
      </c>
    </row>
    <row r="34" spans="1:6" ht="12.5">
      <c r="B34" s="2" t="str">
        <f>Texte!$B$119</f>
        <v>Museen</v>
      </c>
      <c r="C34" s="5">
        <v>140</v>
      </c>
      <c r="D34" s="5">
        <v>180</v>
      </c>
    </row>
    <row r="35" spans="1:6" ht="12.5">
      <c r="B35" s="2" t="str">
        <f>Texte!$B$120</f>
        <v>Spital</v>
      </c>
      <c r="C35" s="5">
        <v>160</v>
      </c>
      <c r="D35" s="5">
        <v>200</v>
      </c>
    </row>
    <row r="36" spans="1:6" ht="12.5">
      <c r="B36" s="2" t="str">
        <f>Texte!$B$121</f>
        <v>Industrie</v>
      </c>
      <c r="C36" s="5">
        <v>140</v>
      </c>
      <c r="D36" s="5">
        <v>180</v>
      </c>
    </row>
    <row r="37" spans="1:6" ht="12.5">
      <c r="B37" s="2" t="str">
        <f>Texte!$B$122</f>
        <v>Kleine Schulbauten</v>
      </c>
      <c r="C37" s="5">
        <v>100</v>
      </c>
      <c r="D37" s="5">
        <v>145</v>
      </c>
    </row>
    <row r="38" spans="1:6" ht="12.5">
      <c r="B38" s="2" t="str">
        <f>Texte!$B$123</f>
        <v>Sportbauten</v>
      </c>
      <c r="C38" s="5">
        <v>140</v>
      </c>
      <c r="D38" s="5">
        <v>180</v>
      </c>
    </row>
    <row r="39" spans="1:6" ht="12.5">
      <c r="B39" s="2"/>
    </row>
    <row r="40" spans="1:6">
      <c r="C40" s="3" t="s">
        <v>1671</v>
      </c>
    </row>
    <row r="41" spans="1:6">
      <c r="A41" s="4" t="s">
        <v>1683</v>
      </c>
      <c r="B41" s="4" t="s">
        <v>140</v>
      </c>
      <c r="C41" s="4" t="s">
        <v>1667</v>
      </c>
      <c r="D41" s="4" t="s">
        <v>1668</v>
      </c>
    </row>
    <row r="42" spans="1:6" ht="12.5">
      <c r="A42" s="5" t="s">
        <v>1681</v>
      </c>
      <c r="B42" s="2" t="str">
        <f>Texte!$B$113</f>
        <v>Wohnen MFH</v>
      </c>
      <c r="C42" s="66">
        <v>8</v>
      </c>
      <c r="D42" s="66">
        <v>10</v>
      </c>
      <c r="F42" s="5" t="s">
        <v>1810</v>
      </c>
    </row>
    <row r="43" spans="1:6" ht="12.5">
      <c r="B43" s="2" t="str">
        <f>Texte!$B$114</f>
        <v>Kleine Wohnbauten</v>
      </c>
      <c r="C43" s="66">
        <v>8</v>
      </c>
      <c r="D43" s="66">
        <v>10.5</v>
      </c>
      <c r="F43" s="5" t="s">
        <v>1810</v>
      </c>
    </row>
    <row r="44" spans="1:6" ht="12.5">
      <c r="B44" s="2" t="str">
        <f>Texte!$B$115</f>
        <v>Verwaltung</v>
      </c>
      <c r="C44" s="66">
        <v>8</v>
      </c>
      <c r="D44" s="66">
        <v>11</v>
      </c>
      <c r="F44" s="5" t="s">
        <v>1810</v>
      </c>
    </row>
    <row r="45" spans="1:6" ht="12.5">
      <c r="B45" s="2" t="str">
        <f>Texte!$B$116</f>
        <v>Schule</v>
      </c>
      <c r="C45" s="66">
        <v>8</v>
      </c>
      <c r="D45" s="66">
        <v>11</v>
      </c>
      <c r="F45" s="5" t="s">
        <v>1810</v>
      </c>
    </row>
    <row r="46" spans="1:6" ht="12.5">
      <c r="B46" s="2" t="str">
        <f>Texte!$B$117</f>
        <v>Verkauf</v>
      </c>
      <c r="C46" s="66">
        <v>11</v>
      </c>
      <c r="D46" s="66">
        <v>16</v>
      </c>
      <c r="F46" s="5" t="s">
        <v>1810</v>
      </c>
    </row>
    <row r="47" spans="1:6" ht="12.5">
      <c r="B47" s="2" t="str">
        <f>Texte!$B$118</f>
        <v>Restaurant</v>
      </c>
      <c r="C47" s="66">
        <v>8</v>
      </c>
      <c r="D47" s="66">
        <v>13</v>
      </c>
      <c r="F47" s="5" t="s">
        <v>1810</v>
      </c>
    </row>
    <row r="48" spans="1:6" ht="12.5">
      <c r="B48" s="2" t="str">
        <f>Texte!$B$119</f>
        <v>Museen</v>
      </c>
      <c r="C48" s="66">
        <v>11</v>
      </c>
      <c r="D48" s="66">
        <v>14</v>
      </c>
    </row>
    <row r="49" spans="1:6" ht="12.5">
      <c r="B49" s="2" t="str">
        <f>Texte!$B$120</f>
        <v>Spital</v>
      </c>
      <c r="C49" s="66">
        <v>11</v>
      </c>
      <c r="D49" s="66">
        <v>16</v>
      </c>
    </row>
    <row r="50" spans="1:6" ht="12.5">
      <c r="B50" s="2" t="str">
        <f>Texte!$B$121</f>
        <v>Industrie</v>
      </c>
      <c r="C50" s="66">
        <v>11</v>
      </c>
      <c r="D50" s="66">
        <v>14</v>
      </c>
    </row>
    <row r="51" spans="1:6" ht="12.5">
      <c r="B51" s="2" t="str">
        <f>Texte!$B$122</f>
        <v>Kleine Schulbauten</v>
      </c>
      <c r="C51" s="66">
        <v>8</v>
      </c>
      <c r="D51" s="66">
        <v>11.5</v>
      </c>
      <c r="F51" s="5" t="s">
        <v>1810</v>
      </c>
    </row>
    <row r="52" spans="1:6" ht="12.5">
      <c r="B52" s="2" t="str">
        <f>Texte!$B$123</f>
        <v>Sportbauten</v>
      </c>
      <c r="C52" s="66">
        <v>11</v>
      </c>
      <c r="D52" s="66">
        <v>14</v>
      </c>
    </row>
    <row r="53" spans="1:6" ht="12.5">
      <c r="B53" s="2"/>
    </row>
    <row r="54" spans="1:6">
      <c r="A54" s="4" t="s">
        <v>1709</v>
      </c>
      <c r="B54" s="67" t="s">
        <v>23</v>
      </c>
      <c r="C54" s="4" t="s">
        <v>1850</v>
      </c>
      <c r="D54" s="58"/>
    </row>
    <row r="55" spans="1:6">
      <c r="A55" s="5" t="s">
        <v>1684</v>
      </c>
      <c r="B55" s="38" t="s">
        <v>1692</v>
      </c>
      <c r="C55" s="5">
        <v>159.6</v>
      </c>
      <c r="D55" s="5" t="s">
        <v>2329</v>
      </c>
    </row>
    <row r="56" spans="1:6">
      <c r="A56" s="5" t="s">
        <v>1685</v>
      </c>
      <c r="B56" s="38" t="s">
        <v>1693</v>
      </c>
      <c r="C56" s="5">
        <v>83.4</v>
      </c>
      <c r="D56" s="5" t="s">
        <v>2329</v>
      </c>
    </row>
    <row r="57" spans="1:6">
      <c r="A57" s="5" t="s">
        <v>1686</v>
      </c>
      <c r="B57" s="38" t="s">
        <v>1694</v>
      </c>
      <c r="C57" s="5">
        <v>5</v>
      </c>
      <c r="D57" s="5" t="s">
        <v>2330</v>
      </c>
    </row>
    <row r="58" spans="1:6">
      <c r="A58" s="5" t="s">
        <v>1687</v>
      </c>
      <c r="B58" s="38" t="s">
        <v>1695</v>
      </c>
      <c r="C58" s="5">
        <v>3</v>
      </c>
      <c r="D58" s="5" t="s">
        <v>2330</v>
      </c>
    </row>
    <row r="59" spans="1:6">
      <c r="A59" s="5" t="s">
        <v>1688</v>
      </c>
      <c r="B59" s="38" t="s">
        <v>1696</v>
      </c>
      <c r="C59" s="5">
        <v>13.3</v>
      </c>
      <c r="D59" s="5" t="s">
        <v>2331</v>
      </c>
    </row>
    <row r="60" spans="1:6">
      <c r="A60" s="5" t="s">
        <v>1689</v>
      </c>
      <c r="B60" s="38" t="s">
        <v>1697</v>
      </c>
      <c r="C60" s="5">
        <v>5.2</v>
      </c>
      <c r="D60" s="5" t="s">
        <v>2331</v>
      </c>
    </row>
    <row r="61" spans="1:6">
      <c r="A61" s="5" t="s">
        <v>1690</v>
      </c>
      <c r="B61" s="38" t="s">
        <v>1698</v>
      </c>
      <c r="C61" s="5">
        <f>C57*FaktorPE_TH_ECO_N</f>
        <v>0.5</v>
      </c>
      <c r="D61" s="5" t="s">
        <v>2332</v>
      </c>
    </row>
    <row r="62" spans="1:6">
      <c r="A62" s="5" t="s">
        <v>1691</v>
      </c>
      <c r="B62" s="38" t="s">
        <v>1699</v>
      </c>
      <c r="C62" s="5">
        <f>C58*FaktorPE_TH_ECO_N</f>
        <v>0.30000000000000004</v>
      </c>
      <c r="D62" s="5" t="s">
        <v>2332</v>
      </c>
    </row>
    <row r="63" spans="1:6" ht="12.5">
      <c r="B63" s="9"/>
    </row>
    <row r="64" spans="1:6">
      <c r="A64" s="4" t="s">
        <v>1708</v>
      </c>
      <c r="B64" s="67" t="s">
        <v>23</v>
      </c>
      <c r="C64" s="4" t="s">
        <v>1710</v>
      </c>
      <c r="D64" s="58"/>
    </row>
    <row r="65" spans="1:25" ht="12.5">
      <c r="A65" s="5" t="s">
        <v>1700</v>
      </c>
      <c r="B65" s="9" t="s">
        <v>1702</v>
      </c>
      <c r="C65" s="5">
        <v>30</v>
      </c>
    </row>
    <row r="66" spans="1:25" ht="12.5">
      <c r="A66" s="5" t="s">
        <v>1701</v>
      </c>
      <c r="B66" s="9" t="s">
        <v>1703</v>
      </c>
      <c r="C66" s="5">
        <v>50</v>
      </c>
    </row>
    <row r="67" spans="1:25" ht="12.5">
      <c r="A67" s="5" t="s">
        <v>1704</v>
      </c>
      <c r="B67" s="9" t="s">
        <v>1706</v>
      </c>
      <c r="C67" s="66">
        <v>2.8</v>
      </c>
    </row>
    <row r="68" spans="1:25" ht="12.5">
      <c r="A68" s="5" t="s">
        <v>1705</v>
      </c>
      <c r="B68" s="9" t="s">
        <v>1707</v>
      </c>
      <c r="C68" s="66">
        <v>4.7</v>
      </c>
    </row>
    <row r="69" spans="1:25" ht="12.5">
      <c r="B69" s="9"/>
    </row>
    <row r="70" spans="1:25" ht="12.5">
      <c r="A70" s="3"/>
      <c r="B70" s="9"/>
      <c r="C70" s="3" t="s">
        <v>1670</v>
      </c>
      <c r="D70" s="3"/>
      <c r="E70" s="3" t="s">
        <v>1672</v>
      </c>
      <c r="F70" s="3"/>
      <c r="G70" s="3" t="s">
        <v>1673</v>
      </c>
      <c r="H70" s="3"/>
      <c r="I70" s="3" t="s">
        <v>1674</v>
      </c>
      <c r="J70" s="3"/>
      <c r="K70" s="3" t="s">
        <v>1675</v>
      </c>
      <c r="L70" s="3"/>
      <c r="M70" s="3" t="s">
        <v>1676</v>
      </c>
    </row>
    <row r="71" spans="1:25" ht="13">
      <c r="A71" s="4" t="s">
        <v>1669</v>
      </c>
      <c r="B71" s="25"/>
      <c r="C71" s="4" t="s">
        <v>152</v>
      </c>
      <c r="D71" s="4" t="s">
        <v>153</v>
      </c>
      <c r="E71" s="4" t="s">
        <v>152</v>
      </c>
      <c r="F71" s="4" t="s">
        <v>153</v>
      </c>
      <c r="G71" s="4" t="s">
        <v>152</v>
      </c>
      <c r="H71" s="4" t="s">
        <v>153</v>
      </c>
      <c r="I71" s="4" t="s">
        <v>152</v>
      </c>
      <c r="J71" s="4" t="s">
        <v>153</v>
      </c>
      <c r="K71" s="4" t="s">
        <v>152</v>
      </c>
      <c r="L71" s="4" t="s">
        <v>153</v>
      </c>
      <c r="M71" s="23" t="s">
        <v>343</v>
      </c>
      <c r="N71" s="4" t="s">
        <v>342</v>
      </c>
      <c r="O71" s="4" t="s">
        <v>248</v>
      </c>
      <c r="P71" s="4" t="s">
        <v>344</v>
      </c>
      <c r="Q71" s="4" t="s">
        <v>345</v>
      </c>
      <c r="R71" s="4" t="s">
        <v>346</v>
      </c>
    </row>
    <row r="72" spans="1:25" ht="13.5" customHeight="1">
      <c r="A72" s="5" t="s">
        <v>1678</v>
      </c>
      <c r="B72" s="9" t="str">
        <f>Texte!B113</f>
        <v>Wohnen MFH</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5">
      <c r="B73" s="9" t="str">
        <f>Texte!B114</f>
        <v>Kleine Wohnbauten</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5">
      <c r="B74" s="9" t="str">
        <f>Texte!B115</f>
        <v>Verwaltung</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5">
      <c r="B75" s="9" t="str">
        <f>Texte!B116</f>
        <v>Schule</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5">
      <c r="B76" s="9" t="str">
        <f>Texte!B117</f>
        <v>Verkauf</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5">
      <c r="B77" s="9" t="str">
        <f>Texte!B118</f>
        <v>Restaurant</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5">
      <c r="B78" s="9" t="str">
        <f>Texte!B119</f>
        <v>Museen</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5">
      <c r="B79" s="9" t="str">
        <f>Texte!B120</f>
        <v>Spital</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5">
      <c r="B80" s="9" t="str">
        <f>Texte!B121</f>
        <v>Industrie</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5">
      <c r="B81" s="9" t="str">
        <f>Texte!B122</f>
        <v>Kleine Schulbauten</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5">
      <c r="B82" s="9" t="str">
        <f>Texte!B123</f>
        <v>Sportbauten</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5">
      <c r="B83" s="9"/>
      <c r="O83" s="31"/>
      <c r="P83" s="31"/>
      <c r="Q83" s="31"/>
      <c r="R83" s="31"/>
      <c r="S83" s="31"/>
      <c r="T83" s="31"/>
      <c r="U83" s="31"/>
      <c r="V83" s="31"/>
      <c r="W83" s="31"/>
      <c r="X83" s="32"/>
      <c r="Y83" s="32"/>
    </row>
    <row r="84" spans="1:25" ht="12.5">
      <c r="A84" s="3"/>
      <c r="B84" s="9"/>
      <c r="C84" s="3" t="s">
        <v>1670</v>
      </c>
      <c r="D84" s="3"/>
      <c r="E84" s="3" t="s">
        <v>1672</v>
      </c>
      <c r="F84" s="3"/>
      <c r="G84" s="3" t="s">
        <v>1673</v>
      </c>
      <c r="H84" s="3"/>
      <c r="I84" s="3" t="s">
        <v>1674</v>
      </c>
      <c r="J84" s="3"/>
      <c r="K84" s="3" t="s">
        <v>1675</v>
      </c>
      <c r="L84" s="3"/>
      <c r="M84" s="3" t="s">
        <v>1676</v>
      </c>
      <c r="S84" s="31"/>
      <c r="T84" s="31"/>
      <c r="U84" s="31"/>
      <c r="V84" s="31"/>
      <c r="W84" s="31"/>
      <c r="X84" s="32"/>
      <c r="Y84" s="32"/>
    </row>
    <row r="85" spans="1:25" ht="13">
      <c r="A85" s="4" t="s">
        <v>1677</v>
      </c>
      <c r="B85" s="25"/>
      <c r="C85" s="4" t="s">
        <v>152</v>
      </c>
      <c r="D85" s="4" t="s">
        <v>153</v>
      </c>
      <c r="E85" s="4" t="s">
        <v>152</v>
      </c>
      <c r="F85" s="4" t="s">
        <v>153</v>
      </c>
      <c r="G85" s="4" t="s">
        <v>152</v>
      </c>
      <c r="H85" s="4" t="s">
        <v>153</v>
      </c>
      <c r="I85" s="4" t="s">
        <v>152</v>
      </c>
      <c r="J85" s="4" t="s">
        <v>153</v>
      </c>
      <c r="K85" s="4" t="s">
        <v>152</v>
      </c>
      <c r="L85" s="4" t="s">
        <v>153</v>
      </c>
      <c r="M85" s="23" t="s">
        <v>343</v>
      </c>
      <c r="N85" s="4" t="s">
        <v>342</v>
      </c>
      <c r="O85" s="4" t="s">
        <v>248</v>
      </c>
      <c r="P85" s="4" t="s">
        <v>344</v>
      </c>
      <c r="Q85" s="4" t="s">
        <v>345</v>
      </c>
      <c r="R85" s="4" t="s">
        <v>346</v>
      </c>
      <c r="S85" s="31"/>
      <c r="T85" s="31"/>
      <c r="U85" s="31"/>
      <c r="V85" s="31"/>
      <c r="W85" s="31"/>
      <c r="X85" s="32"/>
      <c r="Y85" s="32"/>
    </row>
    <row r="86" spans="1:25" ht="12.5">
      <c r="A86" s="5" t="s">
        <v>1680</v>
      </c>
      <c r="B86" s="9" t="str">
        <f>B72</f>
        <v>Wohnen MFH</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5">
      <c r="B87" s="9" t="str">
        <f t="shared" ref="B87:B96" si="1">B73</f>
        <v>Kleine Wohnbauten</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5">
      <c r="B88" s="9" t="str">
        <f t="shared" si="1"/>
        <v>Verwaltung</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5">
      <c r="B89" s="9" t="str">
        <f t="shared" si="1"/>
        <v>Schule</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5">
      <c r="B90" s="9" t="str">
        <f t="shared" si="1"/>
        <v>Verkauf</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5">
      <c r="B91" s="9" t="str">
        <f t="shared" si="1"/>
        <v>Restaurant</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5">
      <c r="B92" s="9" t="str">
        <f t="shared" si="1"/>
        <v>Museen</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5">
      <c r="B93" s="9" t="str">
        <f t="shared" si="1"/>
        <v>Spital</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5">
      <c r="B94" s="9" t="str">
        <f t="shared" si="1"/>
        <v>Industrie</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5">
      <c r="B95" s="9" t="str">
        <f t="shared" si="1"/>
        <v>Kleine Schulbauten</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5">
      <c r="B96" s="9" t="str">
        <f t="shared" si="1"/>
        <v>Sportbauten</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5">
      <c r="B97" s="9"/>
      <c r="O97" s="31"/>
      <c r="P97" s="31"/>
      <c r="Q97" s="31"/>
      <c r="R97" s="31"/>
      <c r="S97" s="31"/>
      <c r="T97" s="31"/>
      <c r="U97" s="31"/>
      <c r="V97" s="31"/>
      <c r="W97" s="31"/>
      <c r="X97" s="32"/>
      <c r="Y97" s="32"/>
    </row>
    <row r="98" spans="1:25" ht="12.5">
      <c r="A98" s="4" t="s">
        <v>1711</v>
      </c>
      <c r="B98" s="25"/>
      <c r="C98" s="58"/>
      <c r="O98" s="31"/>
      <c r="P98" s="31"/>
      <c r="Q98" s="31"/>
      <c r="R98" s="31"/>
      <c r="S98" s="31"/>
      <c r="T98" s="31"/>
      <c r="U98" s="31"/>
      <c r="V98" s="31"/>
      <c r="W98" s="31"/>
      <c r="X98" s="32"/>
      <c r="Y98" s="32"/>
    </row>
    <row r="99" spans="1:25">
      <c r="A99" s="5" t="s">
        <v>1712</v>
      </c>
      <c r="B99" s="5" t="s">
        <v>1713</v>
      </c>
      <c r="C99" s="38">
        <v>1.2</v>
      </c>
    </row>
    <row r="100" spans="1:25">
      <c r="A100" s="5" t="s">
        <v>1715</v>
      </c>
      <c r="B100" s="5" t="s">
        <v>1714</v>
      </c>
      <c r="C100" s="69">
        <f>ROUND(1/1.4,2)</f>
        <v>0.71</v>
      </c>
    </row>
    <row r="101" spans="1:25">
      <c r="A101" s="5" t="s">
        <v>1716</v>
      </c>
      <c r="B101" s="5" t="s">
        <v>1719</v>
      </c>
      <c r="C101" s="37" t="e">
        <f>IF(Typ=NewConstruction,3.6*0.0815,3.6*0.0682)</f>
        <v>#REF!</v>
      </c>
    </row>
    <row r="102" spans="1:25">
      <c r="A102" s="5" t="s">
        <v>1717</v>
      </c>
      <c r="B102" s="5" t="s">
        <v>1720</v>
      </c>
      <c r="C102" s="37">
        <v>0.1</v>
      </c>
    </row>
    <row r="103" spans="1:25">
      <c r="A103" s="5" t="s">
        <v>1718</v>
      </c>
      <c r="B103" s="5" t="s">
        <v>1721</v>
      </c>
      <c r="C103" s="37">
        <v>7.0000000000000007E-2</v>
      </c>
    </row>
    <row r="104" spans="1:25">
      <c r="A104" s="5" t="s">
        <v>1734</v>
      </c>
      <c r="B104" s="5" t="s">
        <v>1735</v>
      </c>
      <c r="C104" s="5" t="e">
        <f>ROUND(IF(EnStandard=MEP,30/35*FaktorMEP_WE,30/35),2)</f>
        <v>#REF!</v>
      </c>
    </row>
    <row r="105" spans="1:25" ht="12.5">
      <c r="B105" s="9"/>
    </row>
    <row r="106" spans="1:25" ht="12.5">
      <c r="B106" s="9"/>
    </row>
    <row r="107" spans="1:25" ht="12.5">
      <c r="B107" s="2"/>
    </row>
    <row r="108" spans="1:25">
      <c r="A108" s="4" t="s">
        <v>307</v>
      </c>
      <c r="B108" s="67" t="s">
        <v>140</v>
      </c>
      <c r="C108" s="4" t="str">
        <f>SNBS_Note&amp;" 1"</f>
        <v>Note 1</v>
      </c>
      <c r="D108" s="4" t="str">
        <f>SNBS_Note&amp;" 2"</f>
        <v>Note 2</v>
      </c>
      <c r="E108" s="4" t="str">
        <f>SNBS_Note&amp;" 3"</f>
        <v>Note 3</v>
      </c>
      <c r="F108" s="4" t="str">
        <f>SNBS_Note&amp;" 4"</f>
        <v>Note 4</v>
      </c>
      <c r="G108" s="4" t="str">
        <f>SNBS_Note&amp;" 5"</f>
        <v>Note 5</v>
      </c>
      <c r="H108" s="4" t="str">
        <f>SNBS_Note&amp;" 6"</f>
        <v>Note 6</v>
      </c>
      <c r="J108" s="5" t="e" cm="1">
        <f t="array" ref="J108">INDEX(SNBSnoten,1,MATCH(SumPE,C109:H109,-1)+1)</f>
        <v>#REF!</v>
      </c>
    </row>
    <row r="109" spans="1:25" ht="12.5">
      <c r="B109" s="9" t="str">
        <f>Texte!B125</f>
        <v>Verwaltung</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5">
      <c r="B110" s="9" t="str">
        <f>Texte!B126</f>
        <v>Schule</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5">
      <c r="B111" s="9" t="str">
        <f>Texte!B127</f>
        <v>Wohnen MFH</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5">
      <c r="B112" s="2"/>
    </row>
    <row r="113" spans="1:10">
      <c r="A113" s="4" t="s">
        <v>308</v>
      </c>
      <c r="B113" s="67" t="s">
        <v>140</v>
      </c>
      <c r="C113" s="4" t="str">
        <f>SNBS_Note&amp;" 1"</f>
        <v>Note 1</v>
      </c>
      <c r="D113" s="4" t="str">
        <f>SNBS_Note&amp;" 2"</f>
        <v>Note 2</v>
      </c>
      <c r="E113" s="4" t="str">
        <f>SNBS_Note&amp;" 3"</f>
        <v>Note 3</v>
      </c>
      <c r="F113" s="4" t="str">
        <f>SNBS_Note&amp;" 4"</f>
        <v>Note 4</v>
      </c>
      <c r="G113" s="4" t="str">
        <f>SNBS_Note&amp;" 5"</f>
        <v>Note 5</v>
      </c>
      <c r="H113" s="4" t="str">
        <f>SNBS_Note&amp;" 6"</f>
        <v>Note 6</v>
      </c>
      <c r="J113" s="5" t="e" cm="1">
        <f t="array" ref="J113">INDEX(SNBSnoten,1,MATCH(SumTHGE,C114:H114,-1)+1)</f>
        <v>#REF!</v>
      </c>
    </row>
    <row r="114" spans="1:10" ht="12.5">
      <c r="B114" s="9" t="str">
        <f>Texte!B125</f>
        <v>Verwaltung</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5">
      <c r="B115" s="9" t="str">
        <f>Texte!B126</f>
        <v>Schule</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5">
      <c r="B116" s="9" t="str">
        <f>Texte!B127</f>
        <v>Wohnen MFH</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309</v>
      </c>
      <c r="B118" s="67" t="s">
        <v>140</v>
      </c>
      <c r="C118" s="4" t="s">
        <v>351</v>
      </c>
      <c r="D118" s="4" t="s">
        <v>352</v>
      </c>
    </row>
    <row r="119" spans="1:10">
      <c r="B119" s="5" t="str">
        <f>Texte!B129</f>
        <v>Wohnen</v>
      </c>
      <c r="C119" s="5">
        <v>30</v>
      </c>
      <c r="D119" s="5">
        <v>20</v>
      </c>
    </row>
    <row r="120" spans="1:10">
      <c r="B120" s="5" t="str">
        <f>Texte!B130</f>
        <v>Verwaltung</v>
      </c>
      <c r="C120" s="5">
        <v>40</v>
      </c>
      <c r="D120" s="5">
        <v>20</v>
      </c>
    </row>
    <row r="121" spans="1:10">
      <c r="B121" s="5" t="str">
        <f>Texte!B131</f>
        <v>Schule</v>
      </c>
      <c r="C121" s="5">
        <v>30</v>
      </c>
      <c r="D121" s="5">
        <v>20</v>
      </c>
    </row>
    <row r="122" spans="1:10">
      <c r="B122" s="5" t="str">
        <f>Texte!B132</f>
        <v>Fachgeschäft</v>
      </c>
      <c r="C122" s="5">
        <v>40</v>
      </c>
      <c r="D122" s="5">
        <v>20</v>
      </c>
    </row>
    <row r="123" spans="1:10">
      <c r="B123" s="5" t="str">
        <f>Texte!B133</f>
        <v>Lebensmittelgeschäft</v>
      </c>
      <c r="C123" s="5">
        <v>40</v>
      </c>
      <c r="D123" s="5">
        <v>20</v>
      </c>
    </row>
    <row r="124" spans="1:10">
      <c r="B124" s="5" t="str">
        <f>Texte!B134</f>
        <v>Restaurant</v>
      </c>
      <c r="C124" s="5">
        <v>40</v>
      </c>
      <c r="D124" s="5">
        <v>20</v>
      </c>
    </row>
    <row r="126" spans="1:10">
      <c r="A126" s="4" t="s">
        <v>312</v>
      </c>
      <c r="B126" s="67" t="s">
        <v>140</v>
      </c>
      <c r="C126" s="4" t="s">
        <v>351</v>
      </c>
      <c r="D126" s="4" t="s">
        <v>352</v>
      </c>
    </row>
    <row r="127" spans="1:10">
      <c r="B127" s="5" t="str">
        <f>Texte!B129</f>
        <v>Wohnen</v>
      </c>
      <c r="C127" s="5">
        <v>9</v>
      </c>
      <c r="D127" s="5">
        <v>5</v>
      </c>
    </row>
    <row r="128" spans="1:10">
      <c r="B128" s="5" t="str">
        <f>Texte!B130</f>
        <v>Verwaltung</v>
      </c>
      <c r="C128" s="5">
        <v>9</v>
      </c>
      <c r="D128" s="5">
        <v>6</v>
      </c>
    </row>
    <row r="129" spans="1:14">
      <c r="B129" s="5" t="str">
        <f>Texte!B131</f>
        <v>Schule</v>
      </c>
      <c r="C129" s="5">
        <v>9</v>
      </c>
      <c r="D129" s="5">
        <v>6</v>
      </c>
    </row>
    <row r="130" spans="1:14">
      <c r="B130" s="5" t="str">
        <f>Texte!B132</f>
        <v>Fachgeschäft</v>
      </c>
      <c r="C130" s="5">
        <v>9</v>
      </c>
      <c r="D130" s="5">
        <v>6</v>
      </c>
    </row>
    <row r="131" spans="1:14">
      <c r="B131" s="5" t="str">
        <f>Texte!B133</f>
        <v>Lebensmittelgeschäft</v>
      </c>
      <c r="C131" s="5">
        <v>9</v>
      </c>
      <c r="D131" s="5">
        <v>5</v>
      </c>
    </row>
    <row r="132" spans="1:14">
      <c r="B132" s="5" t="str">
        <f>Texte!B134</f>
        <v>Restaurant</v>
      </c>
      <c r="C132" s="5">
        <v>9</v>
      </c>
      <c r="D132" s="5">
        <v>5</v>
      </c>
    </row>
    <row r="135" spans="1:14">
      <c r="A135" s="4" t="s">
        <v>203</v>
      </c>
      <c r="B135" s="4" t="s">
        <v>23</v>
      </c>
      <c r="C135" s="4" t="s">
        <v>203</v>
      </c>
      <c r="D135" s="4" t="s">
        <v>262</v>
      </c>
      <c r="E135" s="4" t="s">
        <v>263</v>
      </c>
      <c r="F135" s="4" t="s">
        <v>230</v>
      </c>
      <c r="G135" s="4" t="s">
        <v>264</v>
      </c>
      <c r="H135" s="4" t="s">
        <v>269</v>
      </c>
      <c r="I135" s="4" t="s">
        <v>444</v>
      </c>
      <c r="J135" s="4" t="s">
        <v>2342</v>
      </c>
      <c r="K135" s="4" t="s">
        <v>2343</v>
      </c>
      <c r="M135" s="4" t="s">
        <v>2358</v>
      </c>
      <c r="N135" s="4" t="s">
        <v>2359</v>
      </c>
    </row>
    <row r="136" spans="1:14">
      <c r="B136" s="5" t="str">
        <f>Texte!B148</f>
        <v>B Vorbereitung</v>
      </c>
      <c r="C136" s="5" t="s">
        <v>206</v>
      </c>
      <c r="D136" s="5" t="str">
        <f>"N_"&amp;C136</f>
        <v>N_BKP_B</v>
      </c>
      <c r="E136" s="5" t="str">
        <f>"R_"&amp;C136</f>
        <v>R_BKP_B</v>
      </c>
      <c r="F136" s="5" t="s">
        <v>20</v>
      </c>
      <c r="G136" s="5" t="s">
        <v>265</v>
      </c>
      <c r="I136" s="5">
        <v>1</v>
      </c>
      <c r="J136" s="5" t="str">
        <f>Nein</f>
        <v>Nein</v>
      </c>
      <c r="K136" s="5" t="str">
        <f>Nein</f>
        <v>Nein</v>
      </c>
      <c r="M136" s="5" t="e">
        <f>IF(OR(IF(Typ=NewConstruction,J136,K136)=Nein,COUNTIF(#REF!,Konstanten!B136)&gt;0),Ja,Nein)</f>
        <v>#REF!</v>
      </c>
      <c r="N136" s="5" t="e">
        <f t="shared" ref="N136:N146" si="2">IF(M136=Nein,LEFT(B136,SEARCH(" ",B136)-1)&amp;", ","")</f>
        <v>#REF!</v>
      </c>
    </row>
    <row r="137" spans="1:14">
      <c r="B137" s="5" t="str">
        <f>Texte!B149</f>
        <v>C1 Bodenplatte, Fundament</v>
      </c>
      <c r="C137" s="5" t="s">
        <v>207</v>
      </c>
      <c r="D137" s="5" t="str">
        <f t="shared" ref="D137:D146" si="3">"N_"&amp;C137</f>
        <v>N_BKP_C1</v>
      </c>
      <c r="E137" s="5" t="str">
        <f t="shared" ref="E137:E146" si="4">"R_"&amp;C137</f>
        <v>R_BKP_C1</v>
      </c>
      <c r="F137" s="5" t="s">
        <v>19</v>
      </c>
      <c r="H137" s="5" t="s">
        <v>270</v>
      </c>
      <c r="I137" s="5">
        <v>1.2</v>
      </c>
      <c r="J137" s="5" t="str">
        <f>Ja</f>
        <v>Ja</v>
      </c>
      <c r="K137" s="5" t="str">
        <f t="shared" ref="K137:K146" si="5">Nein</f>
        <v>Nein</v>
      </c>
      <c r="M137" s="5" t="e">
        <f>IF(OR(IF(Typ=NewConstruction,J137,K137)=Nein,COUNTIF(#REF!,Konstanten!B137)&gt;0),Ja,Nein)</f>
        <v>#REF!</v>
      </c>
      <c r="N137" s="5" t="e">
        <f t="shared" si="2"/>
        <v>#REF!</v>
      </c>
    </row>
    <row r="138" spans="1:14">
      <c r="B138" s="5" t="str">
        <f>Texte!B150</f>
        <v>C2.1 Aussenwandkonstruktion u.T</v>
      </c>
      <c r="C138" s="5" t="s">
        <v>208</v>
      </c>
      <c r="D138" s="5" t="str">
        <f t="shared" si="3"/>
        <v>N_BKP_C211</v>
      </c>
      <c r="E138" s="5" t="str">
        <f t="shared" si="4"/>
        <v>R_BKP_C211</v>
      </c>
      <c r="F138" s="5" t="s">
        <v>19</v>
      </c>
      <c r="H138" s="5" t="s">
        <v>270</v>
      </c>
      <c r="I138" s="5">
        <v>1.2</v>
      </c>
      <c r="J138" s="5" t="e">
        <f>IF(StockwerkeUT&gt;0,Ja,Nein)</f>
        <v>#REF!</v>
      </c>
      <c r="K138" s="5" t="str">
        <f t="shared" si="5"/>
        <v>Nein</v>
      </c>
      <c r="M138" s="5" t="e">
        <f>IF(OR(IF(Typ=NewConstruction,J138,K138)=Nein,COUNTIF(#REF!,Konstanten!B138)&gt;0),Ja,Nein)</f>
        <v>#REF!</v>
      </c>
      <c r="N138" s="5" t="e">
        <f t="shared" si="2"/>
        <v>#REF!</v>
      </c>
    </row>
    <row r="139" spans="1:14">
      <c r="B139" s="5" t="str">
        <f>Texte!B151</f>
        <v>C2.1 Aussenwandkonstruktion ü.T</v>
      </c>
      <c r="C139" s="5" t="s">
        <v>209</v>
      </c>
      <c r="D139" s="5" t="str">
        <f t="shared" si="3"/>
        <v>N_BKP_C212</v>
      </c>
      <c r="E139" s="5" t="str">
        <f t="shared" si="4"/>
        <v>R_BKP_C212</v>
      </c>
      <c r="F139" s="5" t="s">
        <v>19</v>
      </c>
      <c r="H139" s="5" t="s">
        <v>270</v>
      </c>
      <c r="I139" s="5">
        <v>1.2</v>
      </c>
      <c r="J139" s="5" t="str">
        <f>Ja</f>
        <v>Ja</v>
      </c>
      <c r="K139" s="5" t="str">
        <f t="shared" si="5"/>
        <v>Nein</v>
      </c>
      <c r="M139" s="5" t="e">
        <f>IF(OR(IF(Typ=NewConstruction,J139,K139)=Nein,COUNTIF(#REF!,Konstanten!B139)&gt;0),Ja,Nein)</f>
        <v>#REF!</v>
      </c>
      <c r="N139" s="5" t="e">
        <f t="shared" si="2"/>
        <v>#REF!</v>
      </c>
    </row>
    <row r="140" spans="1:14">
      <c r="B140" s="5" t="str">
        <f>Texte!B152</f>
        <v>C2.2 Innenwandkonstruktion</v>
      </c>
      <c r="C140" s="5" t="s">
        <v>210</v>
      </c>
      <c r="D140" s="5" t="str">
        <f t="shared" si="3"/>
        <v>N_BKP_C22</v>
      </c>
      <c r="E140" s="5" t="str">
        <f t="shared" si="4"/>
        <v>R_BKP_C22</v>
      </c>
      <c r="F140" s="5" t="s">
        <v>20</v>
      </c>
      <c r="G140" s="5" t="s">
        <v>266</v>
      </c>
      <c r="H140" s="5" t="s">
        <v>271</v>
      </c>
      <c r="I140" s="5">
        <v>1</v>
      </c>
      <c r="J140" s="5" t="str">
        <f>Ja</f>
        <v>Ja</v>
      </c>
      <c r="K140" s="5" t="str">
        <f t="shared" si="5"/>
        <v>Nein</v>
      </c>
      <c r="M140" s="5" t="e">
        <f>IF(OR(IF(Typ=NewConstruction,J140,K140)=Nein,COUNTIF(#REF!,Konstanten!B140)&gt;0),Ja,Nein)</f>
        <v>#REF!</v>
      </c>
      <c r="N140" s="5" t="e">
        <f t="shared" si="2"/>
        <v>#REF!</v>
      </c>
    </row>
    <row r="141" spans="1:14">
      <c r="B141" s="5" t="str">
        <f>Texte!B153</f>
        <v>C4.1 Decke</v>
      </c>
      <c r="C141" s="5" t="s">
        <v>211</v>
      </c>
      <c r="D141" s="5" t="str">
        <f t="shared" si="3"/>
        <v>N_BKP_C41</v>
      </c>
      <c r="E141" s="5" t="str">
        <f t="shared" si="4"/>
        <v>R_BKP_C41</v>
      </c>
      <c r="F141" s="5" t="s">
        <v>20</v>
      </c>
      <c r="G141" s="5" t="s">
        <v>267</v>
      </c>
      <c r="H141" s="5" t="s">
        <v>271</v>
      </c>
      <c r="I141" s="5">
        <v>1</v>
      </c>
      <c r="J141" s="5" t="e">
        <f>IF(StockwerkeUH&gt;0,Ja,Nein)</f>
        <v>#REF!</v>
      </c>
      <c r="K141" s="5" t="str">
        <f t="shared" si="5"/>
        <v>Nein</v>
      </c>
      <c r="M141" s="5" t="e">
        <f>IF(OR(IF(Typ=NewConstruction,J141,K141)=Nein,COUNTIF(#REF!,Konstanten!B141)&gt;0),Ja,Nein)</f>
        <v>#REF!</v>
      </c>
      <c r="N141" s="5" t="e">
        <f t="shared" si="2"/>
        <v>#REF!</v>
      </c>
    </row>
    <row r="142" spans="1:14">
      <c r="B142" s="5" t="str">
        <f>Texte!B154</f>
        <v>C4.3 Balkon</v>
      </c>
      <c r="C142" s="5" t="s">
        <v>212</v>
      </c>
      <c r="D142" s="5" t="str">
        <f t="shared" si="3"/>
        <v>N_BKP_C43</v>
      </c>
      <c r="E142" s="5" t="str">
        <f t="shared" si="4"/>
        <v>R_BKP_C43</v>
      </c>
      <c r="F142" s="5" t="s">
        <v>19</v>
      </c>
      <c r="I142" s="5">
        <v>1</v>
      </c>
      <c r="J142" s="5" t="str">
        <f>Nein</f>
        <v>Nein</v>
      </c>
      <c r="K142" s="5" t="str">
        <f t="shared" si="5"/>
        <v>Nein</v>
      </c>
      <c r="M142" s="5" t="e">
        <f>IF(OR(IF(Typ=NewConstruction,J142,K142)=Nein,COUNTIF(#REF!,Konstanten!B142)&gt;0),Ja,Nein)</f>
        <v>#REF!</v>
      </c>
      <c r="N142" s="5" t="e">
        <f t="shared" si="2"/>
        <v>#REF!</v>
      </c>
    </row>
    <row r="143" spans="1:14">
      <c r="B143" s="5" t="str">
        <f>Texte!B155</f>
        <v>C4.4 Dachkonstruktion</v>
      </c>
      <c r="C143" s="5" t="s">
        <v>213</v>
      </c>
      <c r="D143" s="5" t="str">
        <f t="shared" si="3"/>
        <v>N_BKP_C44</v>
      </c>
      <c r="E143" s="5" t="str">
        <f t="shared" si="4"/>
        <v>R_BKP_C44</v>
      </c>
      <c r="F143" s="5" t="s">
        <v>19</v>
      </c>
      <c r="H143" s="5" t="s">
        <v>270</v>
      </c>
      <c r="I143" s="5">
        <v>1.2</v>
      </c>
      <c r="J143" s="5" t="str">
        <f>Ja</f>
        <v>Ja</v>
      </c>
      <c r="K143" s="5" t="str">
        <f t="shared" si="5"/>
        <v>Nein</v>
      </c>
      <c r="M143" s="5" t="e">
        <f>IF(OR(IF(Typ=NewConstruction,J143,K143)=Nein,COUNTIF(#REF!,Konstanten!B143)&gt;0),Ja,Nein)</f>
        <v>#REF!</v>
      </c>
      <c r="N143" s="5" t="e">
        <f t="shared" si="2"/>
        <v>#REF!</v>
      </c>
    </row>
    <row r="144" spans="1:14">
      <c r="B144" s="5" t="str">
        <f>Texte!B156</f>
        <v>D Technik Gebäude</v>
      </c>
      <c r="C144" s="5" t="s">
        <v>214</v>
      </c>
      <c r="D144" s="5" t="str">
        <f t="shared" si="3"/>
        <v>N_BKP_D</v>
      </c>
      <c r="E144" s="5" t="str">
        <f t="shared" si="4"/>
        <v>R_BKP_D</v>
      </c>
      <c r="F144" s="5" t="s">
        <v>20</v>
      </c>
      <c r="G144" s="5" t="s">
        <v>268</v>
      </c>
      <c r="I144" s="5">
        <v>1</v>
      </c>
      <c r="J144" s="5" t="str">
        <f>Nein</f>
        <v>Nein</v>
      </c>
      <c r="K144" s="5" t="str">
        <f t="shared" si="5"/>
        <v>Nein</v>
      </c>
      <c r="M144" s="5" t="e">
        <f>IF(OR(IF(Typ=NewConstruction,J144,K144)=Nein,COUNTIF(#REF!,Konstanten!B144)&gt;0),Ja,Nein)</f>
        <v>#REF!</v>
      </c>
      <c r="N144" s="5" t="e">
        <f t="shared" si="2"/>
        <v>#REF!</v>
      </c>
    </row>
    <row r="145" spans="1:14">
      <c r="B145" s="5" t="str">
        <f>Texte!B159</f>
        <v>E3 Einbauten zu Aussenwand</v>
      </c>
      <c r="C145" s="5" t="s">
        <v>215</v>
      </c>
      <c r="D145" s="5" t="str">
        <f t="shared" si="3"/>
        <v>N_BKP_E3</v>
      </c>
      <c r="E145" s="5" t="str">
        <f t="shared" si="4"/>
        <v>R_BKP_E3</v>
      </c>
      <c r="F145" s="5" t="s">
        <v>19</v>
      </c>
      <c r="H145" s="5" t="s">
        <v>270</v>
      </c>
      <c r="I145" s="5">
        <v>1.2</v>
      </c>
      <c r="J145" s="5" t="str">
        <f>Ja</f>
        <v>Ja</v>
      </c>
      <c r="K145" s="5" t="str">
        <f t="shared" si="5"/>
        <v>Nein</v>
      </c>
      <c r="M145" s="5" t="e">
        <f>IF(OR(IF(Typ=NewConstruction,J145,K145)=Nein,COUNTIF(#REF!,Konstanten!B145)&gt;0),Ja,Nein)</f>
        <v>#REF!</v>
      </c>
      <c r="N145" s="5" t="e">
        <f t="shared" si="2"/>
        <v>#REF!</v>
      </c>
    </row>
    <row r="146" spans="1:14">
      <c r="B146" s="5" t="str">
        <f>Texte!B161</f>
        <v>G Ausbau Gebäude</v>
      </c>
      <c r="C146" s="5" t="s">
        <v>216</v>
      </c>
      <c r="D146" s="5" t="str">
        <f t="shared" si="3"/>
        <v>N_BKP_G</v>
      </c>
      <c r="E146" s="5" t="str">
        <f t="shared" si="4"/>
        <v>R_BKP_G</v>
      </c>
      <c r="F146" s="5" t="s">
        <v>19</v>
      </c>
      <c r="I146" s="5">
        <v>1</v>
      </c>
      <c r="J146" s="5" t="str">
        <f>Nein</f>
        <v>Nein</v>
      </c>
      <c r="K146" s="5" t="str">
        <f t="shared" si="5"/>
        <v>Nein</v>
      </c>
      <c r="M146" s="5" t="e">
        <f>IF(OR(IF(Typ=NewConstruction,J146,K146)=Nein,COUNTIF(#REF!,Konstanten!B146)&gt;0),Ja,Nein)</f>
        <v>#REF!</v>
      </c>
      <c r="N146" s="5" t="e">
        <f t="shared" si="2"/>
        <v>#REF!</v>
      </c>
    </row>
    <row r="147" spans="1:14">
      <c r="M147" s="82" t="str">
        <f>IF(COUNTIF(M136:M146,Ja)=ROWS(M136:M146),Ja,Nein)</f>
        <v>Nein</v>
      </c>
      <c r="N147" s="82" t="e">
        <f>IF(M147=Ja,Texte!B173,Texte!B174&amp;LEFT(N136&amp;N137&amp;N138&amp;N139&amp;N140&amp;N141&amp;N142&amp;N143&amp;N144&amp;N145&amp;N146,LEN(N136&amp;N137&amp;N138&amp;N139&amp;N140&amp;N141&amp;N142&amp;N143&amp;N144&amp;N145&amp;N146)-2)&amp;".")</f>
        <v>#REF!</v>
      </c>
    </row>
    <row r="148" spans="1:14" ht="16">
      <c r="A148" s="4" t="s">
        <v>317</v>
      </c>
      <c r="B148" s="4" t="s">
        <v>23</v>
      </c>
      <c r="C148" s="24" t="s">
        <v>318</v>
      </c>
    </row>
    <row r="149" spans="1:14">
      <c r="A149" s="5" t="s">
        <v>319</v>
      </c>
      <c r="B149" s="5" t="str">
        <f>Texte!B137</f>
        <v>Wenig (z.B. Loft)</v>
      </c>
      <c r="C149" s="5">
        <v>0.25</v>
      </c>
    </row>
    <row r="150" spans="1:14">
      <c r="B150" s="5" t="str">
        <f>Texte!B138</f>
        <v>Normal</v>
      </c>
      <c r="C150" s="5">
        <v>0.4</v>
      </c>
    </row>
    <row r="151" spans="1:14">
      <c r="B151" s="5" t="str">
        <f>Texte!B139</f>
        <v>Viel (z.B. Hotel)</v>
      </c>
      <c r="C151" s="5">
        <v>0.5</v>
      </c>
    </row>
    <row r="155" spans="1:14">
      <c r="A155" s="4" t="s">
        <v>24</v>
      </c>
      <c r="B155" s="4" t="s">
        <v>23</v>
      </c>
      <c r="C155" s="58"/>
      <c r="D155" s="58"/>
      <c r="E155" s="58"/>
    </row>
    <row r="156" spans="1:14">
      <c r="B156" s="5" t="s">
        <v>25</v>
      </c>
      <c r="C156" s="5">
        <v>0.7</v>
      </c>
      <c r="D156" s="5">
        <v>100</v>
      </c>
      <c r="E156" s="5" t="str">
        <f>Texte!$B$363</f>
        <v>gut erfüllt</v>
      </c>
    </row>
    <row r="157" spans="1:14">
      <c r="A157" s="3"/>
      <c r="B157" s="5" t="s">
        <v>26</v>
      </c>
      <c r="C157" s="5">
        <v>0.5</v>
      </c>
      <c r="D157" s="5">
        <f>Gut</f>
        <v>0.7</v>
      </c>
      <c r="E157" s="5" t="str">
        <f>Texte!$B$364</f>
        <v>erfüllt</v>
      </c>
    </row>
    <row r="158" spans="1:14">
      <c r="A158" s="3"/>
      <c r="B158" s="5" t="s">
        <v>27</v>
      </c>
      <c r="C158" s="5">
        <v>0</v>
      </c>
      <c r="D158" s="5">
        <f>Befriedigend</f>
        <v>0.5</v>
      </c>
      <c r="E158" s="5" t="str">
        <f>Texte!$B$365</f>
        <v>nicht erfüllt</v>
      </c>
    </row>
    <row r="159" spans="1:14" ht="15.75" customHeight="1">
      <c r="A159" s="3"/>
    </row>
    <row r="160" spans="1:14">
      <c r="A160" s="3" t="s">
        <v>28</v>
      </c>
      <c r="B160" s="5" t="s">
        <v>2341</v>
      </c>
    </row>
    <row r="163" spans="1:11">
      <c r="A163" s="4" t="s">
        <v>2357</v>
      </c>
      <c r="B163" s="4" t="s">
        <v>23</v>
      </c>
      <c r="C163" s="4" t="s">
        <v>2360</v>
      </c>
      <c r="E163" s="4" t="s">
        <v>2358</v>
      </c>
      <c r="F163" s="58"/>
      <c r="G163" s="58"/>
      <c r="H163" s="58"/>
      <c r="I163" s="58"/>
      <c r="J163" s="58"/>
      <c r="K163" s="58"/>
    </row>
    <row r="164" spans="1:11">
      <c r="B164" s="5" t="s">
        <v>2347</v>
      </c>
    </row>
    <row r="165" spans="1:11">
      <c r="B165" s="5" t="s">
        <v>341</v>
      </c>
    </row>
    <row r="166" spans="1:11">
      <c r="B166" s="81" t="s">
        <v>2348</v>
      </c>
      <c r="C166" s="5" t="str">
        <f>Texte!B163</f>
        <v>Lüftung</v>
      </c>
      <c r="E166" s="81" t="e">
        <f>IF(Typ=NewConstruction,IF(COUNTIF(#REF!,B166)&gt;0,Ja,Nein),IF(OR(AND(VentNeu=Ja,COUNTIF(#REF!,B166)&gt;0),VentNeu=Nein),Ja,Nein))</f>
        <v>#REF!</v>
      </c>
      <c r="F166" s="5" t="e">
        <f>IF(E166=Nein,Konstanten!C166&amp;", ","")</f>
        <v>#REF!</v>
      </c>
    </row>
    <row r="167" spans="1:11">
      <c r="B167" s="81" t="s">
        <v>2349</v>
      </c>
      <c r="C167" s="5" t="str">
        <f>Texte!B164</f>
        <v>Elektro</v>
      </c>
      <c r="E167" s="81" t="e">
        <f>IF(Typ=NewConstruction,IF(COUNTIF(#REF!,B167)&gt;0,Ja,Nein),IF(OR(AND(ElNeu=Ja,COUNTIF(#REF!,B167)&gt;0),ElNeu=Nein),Ja,Nein))</f>
        <v>#REF!</v>
      </c>
      <c r="F167" s="5" t="e">
        <f>IF(E167=Nein,Konstanten!C167&amp;", ","")</f>
        <v>#REF!</v>
      </c>
    </row>
    <row r="168" spans="1:11">
      <c r="B168" s="81" t="s">
        <v>2351</v>
      </c>
      <c r="C168" s="5" t="str">
        <f>Texte!B165</f>
        <v>Erdsonden</v>
      </c>
      <c r="E168" s="81" t="e">
        <f>IF(Typ=NewConstruction,IF(OR(ErdSonde=Nein,COUNTIF(#REF!,B168)&gt;0),Ja,Nein),IF(OR(AND(ErdSonde=Ja,COUNTIF(#REF!,B168)&gt;0),ErdSonde=Nein),Ja,Nein))</f>
        <v>#REF!</v>
      </c>
      <c r="F168" s="5" t="e">
        <f>IF(E168=Nein,Konstanten!C168&amp;", ","")</f>
        <v>#REF!</v>
      </c>
    </row>
    <row r="169" spans="1:11">
      <c r="B169" s="81" t="s">
        <v>2352</v>
      </c>
      <c r="C169" s="5" t="str">
        <f>Texte!B166</f>
        <v>Therm. Kollektoren</v>
      </c>
      <c r="E169" s="81" t="e">
        <f>IF(Typ=NewConstruction,IF(OR(ThermieFlaeche=0,COUNTIF(#REF!,B169)&gt;0),Ja,Nein),IF(OR(AND(ThermieFlaeche&gt;0,COUNTIF(#REF!,B169)&gt;0),ThermieFlaeche=0),Ja,Nein))</f>
        <v>#REF!</v>
      </c>
      <c r="F169" s="5" t="e">
        <f>IF(E169=Nein,Konstanten!C169&amp;", ","")</f>
        <v>#REF!</v>
      </c>
    </row>
    <row r="170" spans="1:11">
      <c r="B170" s="81" t="s">
        <v>2350</v>
      </c>
      <c r="C170" s="5" t="str">
        <f>Texte!B167</f>
        <v>Sanitär</v>
      </c>
      <c r="E170" s="81" t="e">
        <f>IF(Typ=NewConstruction,IF(COUNTIF(#REF!,B170)&gt;0,Ja,Nein),IF(OR(AND(SanNeu=Ja,COUNTIF(#REF!,B170)&gt;0),SanNeu=Nein),Ja,Nein))</f>
        <v>#REF!</v>
      </c>
      <c r="F170" s="5" t="e">
        <f>IF(E170=Nein,Konstanten!C170&amp;", ","")</f>
        <v>#REF!</v>
      </c>
    </row>
    <row r="171" spans="1:11">
      <c r="B171" s="81" t="s">
        <v>2353</v>
      </c>
      <c r="C171" s="5" t="str">
        <f>Texte!B168</f>
        <v>Photovoltaik</v>
      </c>
      <c r="E171" s="81" t="e">
        <f>IF(Typ=NewConstruction,IF(OR(PVflaeche=0,COUNTIF(#REF!,B171)&gt;0),Ja,Nein),IF(OR(AND(PVflaeche&gt;0,COUNTIF(#REF!,B171)&gt;0),PVflaeche=0),Ja,Nein))</f>
        <v>#REF!</v>
      </c>
      <c r="F171" s="5" t="e">
        <f>IF(E171=Nein,Konstanten!C171&amp;", ","")</f>
        <v>#REF!</v>
      </c>
    </row>
    <row r="172" spans="1:11">
      <c r="B172" s="81" t="s">
        <v>2355</v>
      </c>
      <c r="C172" s="5" t="str">
        <f>Texte!B169</f>
        <v>Wärmeabgabe</v>
      </c>
      <c r="E172" s="81" t="e">
        <f>IF(Typ=NewConstruction,IF(COUNTIF(#REF!,B172)&gt;0,Ja,Nein),IF(OR(AND(WAneu=Ja,COUNTIF(#REF!,B172)&gt;0),WAneu=Nein),Ja,Nein))</f>
        <v>#REF!</v>
      </c>
      <c r="F172" s="5" t="e">
        <f>IF(E172=Nein,Konstanten!C172&amp;", ","")</f>
        <v>#REF!</v>
      </c>
    </row>
    <row r="173" spans="1:11">
      <c r="B173" s="81" t="s">
        <v>2356</v>
      </c>
      <c r="C173" s="5" t="str">
        <f>Texte!B170</f>
        <v>Wärmeerzeugung</v>
      </c>
      <c r="E173" s="81" t="e">
        <f>IF(Typ=NewConstruction,IF(COUNTIF(#REF!,B173)&gt;0,Ja,Nein),IF(OR(AND(WEneu=Ja,COUNTIF(#REF!,B173)&gt;0),WEneu=Nein),Ja,Nein))</f>
        <v>#REF!</v>
      </c>
      <c r="F173" s="5" t="e">
        <f>IF(E173=Nein,Konstanten!C173&amp;", ","")</f>
        <v>#REF!</v>
      </c>
    </row>
    <row r="174" spans="1:11">
      <c r="B174" s="81" t="s">
        <v>2354</v>
      </c>
      <c r="C174" s="5" t="str">
        <f>Texte!B171</f>
        <v>Wärmeverteilung</v>
      </c>
      <c r="E174" s="81" t="e">
        <f>IF(Typ=NewConstruction,IF(COUNTIF(#REF!,B174)&gt;0,Ja,Nein),IF(OR(AND(WVneu=Ja,COUNTIF(#REF!,B174)&gt;0),WVneu=Nein),Ja,Nein))</f>
        <v>#REF!</v>
      </c>
      <c r="F174" s="5" t="e">
        <f>IF(E174=Nein,Konstanten!C174&amp;", ","")</f>
        <v>#REF!</v>
      </c>
    </row>
    <row r="175" spans="1:11">
      <c r="E175" s="82" t="str">
        <f>IF(COUNTIF(E166:E174,Ja)=ROWS(E166:E174),Ja,Nein)</f>
        <v>Nein</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sEx3R3nwQsOrcP12ARpT9r6yQHHFkWyizki4G+Hy2nQYJz6+/YLVpJEBryamp3+18CVvE786O6imlMXfK00yiw==" saltValue="D9ank8We1OAS1+r+brEfUw=="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4" zoomScale="70" zoomScaleNormal="70" workbookViewId="0">
      <selection activeCell="C101" sqref="C101"/>
    </sheetView>
  </sheetViews>
  <sheetFormatPr baseColWidth="10" defaultColWidth="11.53515625" defaultRowHeight="12.5"/>
  <cols>
    <col min="1" max="1" width="20.53515625" style="8" customWidth="1"/>
    <col min="2" max="6" width="50.53515625" style="8" customWidth="1"/>
    <col min="7" max="7" width="20.69140625" style="8" customWidth="1"/>
    <col min="8" max="11" width="7.69140625" style="8" customWidth="1"/>
    <col min="12" max="16384" width="11.53515625" style="8"/>
  </cols>
  <sheetData>
    <row r="1" spans="1:6" ht="22.5">
      <c r="A1" s="11" t="s">
        <v>36</v>
      </c>
    </row>
    <row r="2" spans="1:6" ht="9" customHeight="1"/>
    <row r="3" spans="1:6" ht="13">
      <c r="A3" s="10" t="str">
        <f>"Tabelle "&amp;SheetOverview</f>
        <v>Tabelle Überblick</v>
      </c>
      <c r="B3" s="10"/>
      <c r="C3" s="10"/>
      <c r="D3" s="10"/>
      <c r="E3" s="10"/>
      <c r="F3" s="10"/>
    </row>
    <row r="4" spans="1:6" ht="13">
      <c r="A4" s="10" t="s">
        <v>37</v>
      </c>
      <c r="B4" s="10" t="s">
        <v>38</v>
      </c>
      <c r="C4" s="10" t="s">
        <v>13</v>
      </c>
      <c r="D4" s="10" t="s">
        <v>53</v>
      </c>
      <c r="E4" s="10" t="s">
        <v>14</v>
      </c>
      <c r="F4" s="10" t="s">
        <v>15</v>
      </c>
    </row>
    <row r="5" spans="1:6">
      <c r="A5" s="16" t="s">
        <v>40</v>
      </c>
      <c r="B5" s="16" t="str">
        <f t="shared" ref="B5:B40" si="0">INDEX($C5:$F5,1,MATCH(Sprachwahl,ListSprache,0))</f>
        <v>Tool Graue Energie Minergie-Eco®</v>
      </c>
      <c r="C5" s="8" t="s">
        <v>146</v>
      </c>
      <c r="D5" s="8" t="s">
        <v>753</v>
      </c>
      <c r="E5" s="8" t="s">
        <v>844</v>
      </c>
      <c r="F5" s="8" t="s">
        <v>760</v>
      </c>
    </row>
    <row r="6" spans="1:6">
      <c r="A6" s="16" t="s">
        <v>39</v>
      </c>
      <c r="B6" s="16" t="str">
        <f t="shared" si="0"/>
        <v>Objektdaten</v>
      </c>
      <c r="C6" s="8" t="s">
        <v>8</v>
      </c>
      <c r="D6" s="8" t="s">
        <v>1063</v>
      </c>
      <c r="E6" s="8" t="s">
        <v>845</v>
      </c>
      <c r="F6" s="8" t="s">
        <v>82</v>
      </c>
    </row>
    <row r="7" spans="1:6">
      <c r="A7" s="16" t="s">
        <v>41</v>
      </c>
      <c r="B7" s="16" t="str">
        <f t="shared" si="0"/>
        <v>Projektbezeichnung</v>
      </c>
      <c r="C7" s="8" t="s">
        <v>16</v>
      </c>
      <c r="D7" s="8" t="s">
        <v>65</v>
      </c>
      <c r="E7" s="8" t="s">
        <v>76</v>
      </c>
      <c r="F7" s="8" t="s">
        <v>83</v>
      </c>
    </row>
    <row r="8" spans="1:6">
      <c r="A8" s="16" t="s">
        <v>42</v>
      </c>
      <c r="B8" s="16" t="str">
        <f t="shared" si="0"/>
        <v>Projekt-Typ</v>
      </c>
      <c r="C8" s="8" t="s">
        <v>6</v>
      </c>
      <c r="D8" s="8" t="s">
        <v>66</v>
      </c>
      <c r="E8" s="8" t="s">
        <v>77</v>
      </c>
      <c r="F8" s="8" t="s">
        <v>84</v>
      </c>
    </row>
    <row r="9" spans="1:6">
      <c r="A9" s="16" t="s">
        <v>43</v>
      </c>
      <c r="B9" s="16" t="str">
        <f t="shared" si="0"/>
        <v>Angestrebtes Zertifikat</v>
      </c>
      <c r="C9" s="8" t="s">
        <v>287</v>
      </c>
      <c r="D9" s="52" t="s">
        <v>1064</v>
      </c>
      <c r="E9" s="52" t="s">
        <v>846</v>
      </c>
      <c r="F9" s="52" t="s">
        <v>721</v>
      </c>
    </row>
    <row r="10" spans="1:6">
      <c r="A10" s="16" t="s">
        <v>59</v>
      </c>
      <c r="B10" s="16" t="str">
        <f t="shared" si="0"/>
        <v>Gebäudekategorie</v>
      </c>
      <c r="C10" s="8" t="s">
        <v>140</v>
      </c>
      <c r="D10" s="8" t="s">
        <v>1065</v>
      </c>
      <c r="E10" s="52" t="s">
        <v>847</v>
      </c>
      <c r="F10" s="52" t="s">
        <v>722</v>
      </c>
    </row>
    <row r="11" spans="1:6">
      <c r="A11" s="16" t="s">
        <v>330</v>
      </c>
      <c r="B11" s="16" t="str">
        <f t="shared" si="0"/>
        <v>Falsche Gebäudekategorie - bitte neu auswählen</v>
      </c>
      <c r="C11" s="8" t="s">
        <v>331</v>
      </c>
      <c r="D11" s="8" t="s">
        <v>1066</v>
      </c>
      <c r="E11" s="8" t="s">
        <v>848</v>
      </c>
      <c r="F11" s="8" t="s">
        <v>723</v>
      </c>
    </row>
    <row r="12" spans="1:6">
      <c r="A12" s="16" t="s">
        <v>154</v>
      </c>
      <c r="B12" s="16" t="str">
        <f t="shared" si="0"/>
        <v>Bauherr</v>
      </c>
      <c r="C12" s="8" t="s">
        <v>5</v>
      </c>
      <c r="D12" s="8" t="s">
        <v>67</v>
      </c>
      <c r="E12" s="8" t="s">
        <v>85</v>
      </c>
      <c r="F12" s="8" t="s">
        <v>724</v>
      </c>
    </row>
    <row r="13" spans="1:6">
      <c r="A13" s="16" t="s">
        <v>283</v>
      </c>
      <c r="B13" s="16" t="str">
        <f t="shared" si="0"/>
        <v>Architekt</v>
      </c>
      <c r="C13" s="8" t="s">
        <v>0</v>
      </c>
      <c r="D13" s="8" t="s">
        <v>68</v>
      </c>
      <c r="E13" s="8" t="s">
        <v>78</v>
      </c>
      <c r="F13" s="8" t="s">
        <v>86</v>
      </c>
    </row>
    <row r="14" spans="1:6">
      <c r="A14" s="16" t="s">
        <v>61</v>
      </c>
      <c r="B14" s="16" t="str">
        <f t="shared" si="0"/>
        <v>Bauphysiker</v>
      </c>
      <c r="C14" s="8" t="s">
        <v>281</v>
      </c>
      <c r="D14" s="8" t="s">
        <v>725</v>
      </c>
      <c r="E14" s="8" t="s">
        <v>849</v>
      </c>
      <c r="F14" s="8" t="s">
        <v>282</v>
      </c>
    </row>
    <row r="15" spans="1:6">
      <c r="A15" s="16" t="s">
        <v>284</v>
      </c>
      <c r="B15" s="16" t="str">
        <f t="shared" si="0"/>
        <v>Ersteller Nachweis</v>
      </c>
      <c r="C15" s="8" t="s">
        <v>1</v>
      </c>
      <c r="D15" s="8" t="s">
        <v>1067</v>
      </c>
      <c r="E15" s="8" t="s">
        <v>79</v>
      </c>
      <c r="F15" s="8" t="s">
        <v>102</v>
      </c>
    </row>
    <row r="16" spans="1:6">
      <c r="A16" s="16" t="s">
        <v>142</v>
      </c>
      <c r="B16" s="16" t="str">
        <f t="shared" si="0"/>
        <v>Datum, Unterschrift</v>
      </c>
      <c r="C16" s="8" t="s">
        <v>278</v>
      </c>
      <c r="D16" s="8" t="s">
        <v>1068</v>
      </c>
      <c r="E16" s="8" t="s">
        <v>279</v>
      </c>
      <c r="F16" s="8" t="s">
        <v>280</v>
      </c>
    </row>
    <row r="17" spans="1:6">
      <c r="A17" s="16" t="s">
        <v>143</v>
      </c>
      <c r="B17" s="16" t="str">
        <f t="shared" si="0"/>
        <v>Zusammenfassung der Ergebnisse</v>
      </c>
      <c r="C17" s="8" t="s">
        <v>29</v>
      </c>
      <c r="D17" s="8" t="s">
        <v>1069</v>
      </c>
      <c r="E17" s="8" t="s">
        <v>850</v>
      </c>
      <c r="F17" s="8" t="s">
        <v>87</v>
      </c>
    </row>
    <row r="18" spans="1:6">
      <c r="A18" s="16" t="s">
        <v>45</v>
      </c>
      <c r="B18" s="16" t="str">
        <f t="shared" si="0"/>
        <v>Bezeichnung</v>
      </c>
      <c r="C18" s="8" t="s">
        <v>23</v>
      </c>
      <c r="D18" s="8" t="s">
        <v>726</v>
      </c>
      <c r="E18" s="8" t="s">
        <v>727</v>
      </c>
      <c r="F18" s="8" t="s">
        <v>728</v>
      </c>
    </row>
    <row r="19" spans="1:6" ht="14.5">
      <c r="A19" s="16" t="s">
        <v>293</v>
      </c>
      <c r="B19" s="16" t="str">
        <f t="shared" si="0"/>
        <v>PEne (Graue En.)
kWh/m2a</v>
      </c>
      <c r="C19" s="8" t="s">
        <v>299</v>
      </c>
      <c r="D19" s="8" t="s">
        <v>1800</v>
      </c>
      <c r="E19" s="8" t="s">
        <v>1801</v>
      </c>
      <c r="F19" s="8" t="s">
        <v>1802</v>
      </c>
    </row>
    <row r="20" spans="1:6" ht="14.5">
      <c r="A20" s="16" t="s">
        <v>295</v>
      </c>
      <c r="B20" s="16" t="str">
        <f t="shared" si="0"/>
        <v>THGE
kg/m2a</v>
      </c>
      <c r="C20" s="8" t="s">
        <v>298</v>
      </c>
      <c r="D20" s="8" t="s">
        <v>1297</v>
      </c>
      <c r="E20" s="8" t="s">
        <v>1299</v>
      </c>
      <c r="F20" s="8" t="s">
        <v>1298</v>
      </c>
    </row>
    <row r="21" spans="1:6">
      <c r="A21" s="16" t="s">
        <v>1809</v>
      </c>
      <c r="B21" s="16" t="str">
        <f t="shared" si="0"/>
        <v>Projektwerte</v>
      </c>
      <c r="C21" s="8" t="s">
        <v>292</v>
      </c>
      <c r="D21" s="8" t="s">
        <v>1070</v>
      </c>
      <c r="E21" s="8" t="s">
        <v>1807</v>
      </c>
      <c r="F21" s="8" t="s">
        <v>1808</v>
      </c>
    </row>
    <row r="22" spans="1:6">
      <c r="A22" s="16" t="s">
        <v>294</v>
      </c>
      <c r="B22" s="16" t="str">
        <f t="shared" si="0"/>
        <v>Die Anforderung von Minergie-Eco an die Graue Energie ist</v>
      </c>
      <c r="C22" s="8" t="s">
        <v>300</v>
      </c>
      <c r="D22" s="8" t="s">
        <v>1300</v>
      </c>
      <c r="E22" s="8" t="s">
        <v>1728</v>
      </c>
      <c r="F22" s="8" t="s">
        <v>1731</v>
      </c>
    </row>
    <row r="23" spans="1:6">
      <c r="A23" s="16" t="s">
        <v>294</v>
      </c>
      <c r="B23" s="16" t="str">
        <f t="shared" si="0"/>
        <v>Die Bewertung gemäss SNBS Indikator 301.1 ergibt</v>
      </c>
      <c r="C23" s="8" t="s">
        <v>532</v>
      </c>
      <c r="D23" s="8" t="s">
        <v>1071</v>
      </c>
      <c r="E23" s="52" t="s">
        <v>851</v>
      </c>
      <c r="F23" s="8" t="s">
        <v>1301</v>
      </c>
    </row>
    <row r="24" spans="1:6">
      <c r="A24" s="16" t="s">
        <v>294</v>
      </c>
      <c r="B24" s="16" t="str">
        <f t="shared" si="0"/>
        <v>Der Richtwert Graue Energie Erstellung gemäss SIA Effizienzpfad Energie ist</v>
      </c>
      <c r="C24" s="8" t="s">
        <v>296</v>
      </c>
      <c r="D24" s="8" t="s">
        <v>1072</v>
      </c>
      <c r="E24" s="8" t="s">
        <v>852</v>
      </c>
      <c r="F24" s="8" t="s">
        <v>1302</v>
      </c>
    </row>
    <row r="25" spans="1:6">
      <c r="A25" s="16" t="s">
        <v>294</v>
      </c>
      <c r="B25" s="16" t="str">
        <f t="shared" si="0"/>
        <v>Keine Anforderung bezüglich Grauer Energie</v>
      </c>
      <c r="C25" s="8" t="s">
        <v>328</v>
      </c>
      <c r="D25" s="8" t="s">
        <v>1073</v>
      </c>
      <c r="E25" s="8" t="s">
        <v>853</v>
      </c>
      <c r="F25" s="8" t="s">
        <v>1303</v>
      </c>
    </row>
    <row r="26" spans="1:6">
      <c r="A26" s="16" t="s">
        <v>144</v>
      </c>
      <c r="B26" s="16" t="str">
        <f t="shared" si="0"/>
        <v>Die Anforderung von Minergie-Eco an die Treibhausgasemissionen ist</v>
      </c>
      <c r="C26" s="8" t="s">
        <v>1726</v>
      </c>
      <c r="D26" s="8" t="s">
        <v>1727</v>
      </c>
      <c r="E26" s="8" t="s">
        <v>1729</v>
      </c>
      <c r="F26" s="8" t="s">
        <v>1730</v>
      </c>
    </row>
    <row r="27" spans="1:6">
      <c r="A27" s="16" t="s">
        <v>144</v>
      </c>
      <c r="B27" s="16" t="str">
        <f t="shared" si="0"/>
        <v>Die Bewertung gemäss SNBS Indikator 302.1 ergibt</v>
      </c>
      <c r="C27" s="8" t="s">
        <v>533</v>
      </c>
      <c r="D27" s="8" t="s">
        <v>1074</v>
      </c>
      <c r="E27" s="52" t="s">
        <v>854</v>
      </c>
      <c r="F27" s="8" t="s">
        <v>1304</v>
      </c>
    </row>
    <row r="28" spans="1:6">
      <c r="A28" s="16" t="s">
        <v>144</v>
      </c>
      <c r="B28" s="16" t="str">
        <f t="shared" si="0"/>
        <v>Der Richtwert Treibhausgasemissionen Erstellung gemäss SIA Effizienzpfad Energie ist</v>
      </c>
      <c r="C28" s="8" t="s">
        <v>297</v>
      </c>
      <c r="D28" s="8" t="s">
        <v>1075</v>
      </c>
      <c r="E28" s="8" t="s">
        <v>855</v>
      </c>
      <c r="F28" s="8" t="s">
        <v>1305</v>
      </c>
    </row>
    <row r="29" spans="1:6">
      <c r="A29" s="16" t="s">
        <v>144</v>
      </c>
      <c r="B29" s="16" t="str">
        <f t="shared" si="0"/>
        <v>Keine Anforderung bezüglich Treibhausgasemissionen</v>
      </c>
      <c r="C29" s="8" t="s">
        <v>329</v>
      </c>
      <c r="D29" s="8" t="s">
        <v>1076</v>
      </c>
      <c r="E29" s="8" t="s">
        <v>856</v>
      </c>
      <c r="F29" s="8" t="s">
        <v>1306</v>
      </c>
    </row>
    <row r="30" spans="1:6">
      <c r="A30" s="16" t="s">
        <v>145</v>
      </c>
      <c r="B30" s="16" t="str">
        <f t="shared" si="0"/>
        <v>Kurzanleitung</v>
      </c>
      <c r="C30" s="8" t="s">
        <v>31</v>
      </c>
      <c r="D30" s="8" t="s">
        <v>1077</v>
      </c>
      <c r="E30" s="8" t="s">
        <v>857</v>
      </c>
      <c r="F30" s="8" t="s">
        <v>88</v>
      </c>
    </row>
    <row r="31" spans="1:6">
      <c r="A31" s="16" t="s">
        <v>391</v>
      </c>
      <c r="B31" s="16" t="str">
        <f t="shared" si="0"/>
        <v xml:space="preserve">Eine ausführliche Anleitung finden Sie auf der Minergie-Website.  </v>
      </c>
      <c r="C31" s="8" t="s">
        <v>73</v>
      </c>
      <c r="D31" s="8" t="s">
        <v>1078</v>
      </c>
      <c r="E31" s="8" t="s">
        <v>81</v>
      </c>
      <c r="F31" s="8" t="s">
        <v>89</v>
      </c>
    </row>
    <row r="32" spans="1:6">
      <c r="A32" s="16" t="s">
        <v>46</v>
      </c>
      <c r="B32" s="16" t="str">
        <f t="shared" si="0"/>
        <v>Erfassen Sie zuerst die Objektdaten in diesem Blatt.</v>
      </c>
      <c r="C32" s="8" t="s">
        <v>118</v>
      </c>
      <c r="D32" s="8" t="s">
        <v>1079</v>
      </c>
      <c r="E32" s="8" t="s">
        <v>858</v>
      </c>
      <c r="F32" s="8" t="s">
        <v>123</v>
      </c>
    </row>
    <row r="33" spans="1:6">
      <c r="A33" s="16" t="s">
        <v>47</v>
      </c>
      <c r="B33" s="16" t="str">
        <f t="shared" si="0"/>
        <v>Falls es sich beim Objekt um eine Modernisierung handelt, gehen Sie zum Blatt 'Fragenkatalog_Modernisierung' und füllen dieses aus.</v>
      </c>
      <c r="C33" s="8" t="str">
        <f>"Falls es sich beim Objekt um eine Modernisierung handelt, gehen Sie zum Blatt '"&amp;SheetQuestionaire&amp;"' und füllen dieses aus."</f>
        <v>Falls es sich beim Objekt um eine Modernisierung handelt, gehen Sie zum Blatt 'Fragenkatalog_Modernisierung' und füllen dieses aus.</v>
      </c>
      <c r="D33" s="8" t="str">
        <f>"Si le projet est une modernisation, remplir la feuille '"&amp;SheetQuestionaire&amp;"'."</f>
        <v>Si le projet est une modernisation, remplir la feuille 'Fragenkatalog_Modernisierung'.</v>
      </c>
      <c r="E33" s="8" t="str">
        <f>"Se l’oggetto è un ammodernamento, andare al foglio  '"&amp;SheetQuestionaire&amp;"' ."</f>
        <v>Se l’oggetto è un ammodernamento, andare al foglio  'Fragenkatalog_Modernisierung' .</v>
      </c>
      <c r="F33" s="8" t="str">
        <f>"If the project is undergoing a renovation, select the sheet '"&amp;SheetQuestionaire&amp;"' and answer the questions."</f>
        <v>If the project is undergoing a renovation, select the sheet 'Fragenkatalog_Modernisierung' and answer the questions.</v>
      </c>
    </row>
    <row r="34" spans="1:6">
      <c r="A34" s="16" t="s">
        <v>48</v>
      </c>
      <c r="B34" s="16" t="str">
        <f t="shared" si="0"/>
        <v>Falls es sich beim Objekt um einen Neubau handelt, gehen Sie direkt zum Blatt 'Berechnung'.</v>
      </c>
      <c r="C34" s="8" t="str">
        <f>"Falls es sich beim Objekt um einen Neubau handelt, gehen Sie direkt zum Blatt '"&amp;SheetBuildgData&amp;"'."</f>
        <v>Falls es sich beim Objekt um einen Neubau handelt, gehen Sie direkt zum Blatt 'Berechnung'.</v>
      </c>
      <c r="D34" s="8" t="str">
        <f>"Si le projet est une construction nouvelle, aller directement à la feuille '"&amp;SheetBuildgData&amp;"'."</f>
        <v>Si le projet est une construction nouvelle, aller directement à la feuille 'Berechnung'.</v>
      </c>
      <c r="E34" s="8" t="str">
        <f>"Se l’oggetto è un nuovo edificio, andare al foglio '"&amp;SheetBuildgData&amp;"'."</f>
        <v>Se l’oggetto è un nuovo edificio, andare al foglio 'Berechnung'.</v>
      </c>
      <c r="F34" s="8" t="str">
        <f>"If the project is a new building, select the sheet '"&amp;SheetBuildgData&amp;"'."</f>
        <v>If the project is a new building, select the sheet 'Berechnung'.</v>
      </c>
    </row>
    <row r="35" spans="1:6">
      <c r="A35" s="16" t="s">
        <v>49</v>
      </c>
      <c r="B35" s="16" t="str">
        <f t="shared" si="0"/>
        <v>Anschliessend geben Sie die Bauteile und Flächen des Gebäudes in der Tabelle 'Berechnung' ein.</v>
      </c>
      <c r="C35" s="8" t="str">
        <f>"Anschliessend geben Sie die Bauteile und Flächen des Gebäudes in der Tabelle '"&amp;SheetBuildgData&amp;"' ein."</f>
        <v>Anschliessend geben Sie die Bauteile und Flächen des Gebäudes in der Tabelle 'Berechnung' ein.</v>
      </c>
      <c r="D35" s="8" t="str">
        <f>"Saisir ensuite les éléments de construction et les surfaces du bâtiment dans la feuille '"&amp;SheetBuildgData&amp;"'."</f>
        <v>Saisir ensuite les éléments de construction et les surfaces du bâtiment dans la feuille 'Berechnung'.</v>
      </c>
      <c r="E35" s="8" t="str">
        <f>"Registrare quindi i dati delle finestre dell' edificio nella tabella '"&amp;SheetBuildgData&amp;"'."</f>
        <v>Registrare quindi i dati delle finestre dell' edificio nella tabella 'Berechnung'.</v>
      </c>
      <c r="F35" s="8" t="str">
        <f>"Now, enter the windows data in the sheet '"&amp;SheetBuildgData&amp;"'."</f>
        <v>Now, enter the windows data in the sheet 'Berechnung'.</v>
      </c>
    </row>
    <row r="36" spans="1:6">
      <c r="A36" s="16" t="s">
        <v>50</v>
      </c>
      <c r="B36" s="16" t="str">
        <f t="shared" si="0"/>
        <v>Verwenden Sie dazu die Flächenauszüge und Bauteile aus der Energieberechnung (falls vorhanden).</v>
      </c>
      <c r="C36" s="8" t="s">
        <v>201</v>
      </c>
      <c r="D36" s="8" t="s">
        <v>1080</v>
      </c>
      <c r="E36" s="8" t="s">
        <v>859</v>
      </c>
      <c r="F36" s="8" t="s">
        <v>729</v>
      </c>
    </row>
    <row r="37" spans="1:6">
      <c r="A37" s="16" t="s">
        <v>51</v>
      </c>
      <c r="B37" s="16" t="str">
        <f t="shared" si="0"/>
        <v>Bitte beachten Sie die beim Anklicken der Eingabefelder erscheinenden Hilfstexte.</v>
      </c>
      <c r="C37" s="8" t="s">
        <v>116</v>
      </c>
      <c r="D37" s="8" t="s">
        <v>1081</v>
      </c>
      <c r="E37" s="8" t="s">
        <v>860</v>
      </c>
      <c r="F37" s="8" t="s">
        <v>124</v>
      </c>
    </row>
    <row r="38" spans="1:6">
      <c r="A38" s="16" t="s">
        <v>52</v>
      </c>
      <c r="B38" s="16" t="str">
        <f t="shared" si="0"/>
        <v>Die Ergebnisse werden unten auf der Seite im Blatt 'Berechnung' und im Blatt 'Überblick' ausgegeben.</v>
      </c>
      <c r="C38" s="8" t="str">
        <f>"Die Ergebnisse werden unten auf der Seite im Blatt '"&amp;SheetBuildgData&amp;"' und im Blatt '"&amp;SheetOverview&amp;"' ausgegeben."</f>
        <v>Die Ergebnisse werden unten auf der Seite im Blatt 'Berechnung' und im Blatt 'Überblick' ausgegeben.</v>
      </c>
      <c r="D38" s="8" t="str">
        <f>"Les résultats sont affichés au bas de la page '"&amp;SheetBuildgData&amp;"' et '"&amp;SheetOverview&amp;"'."</f>
        <v>Les résultats sont affichés au bas de la page 'Berechnung' et 'Überblick'.</v>
      </c>
      <c r="E38" s="8" t="str">
        <f>"I risultati vengono visualizzati in fondo alla pagina nei fogli '"&amp;SheetOverview&amp;"' e '"&amp;SheetBuildgData&amp;"'."</f>
        <v>I risultati vengono visualizzati in fondo alla pagina nei fogli 'Überblick' e 'Berechnung'.</v>
      </c>
      <c r="F38" s="8" t="str">
        <f>"The results are displayed on the bottom of the sheet '"&amp;SheetBuildgData&amp;"' and on the sheet '"&amp;SheetOverview&amp;"'."</f>
        <v>The results are displayed on the bottom of the sheet 'Berechnung' and on the sheet 'Überblick'.</v>
      </c>
    </row>
    <row r="39" spans="1:6">
      <c r="A39" s="16" t="s">
        <v>285</v>
      </c>
      <c r="B39" s="16" t="str">
        <f t="shared" si="0"/>
        <v>Falls eine Tabelle nicht ausreichen sollte, so können Sie die Ergebnisse von anderen Blättern unten im Blatt 'Berechnung' eintragen.</v>
      </c>
      <c r="C39" s="8" t="str">
        <f>"Falls eine Tabelle nicht ausreichen sollte, so können Sie die Ergebnisse von anderen Blättern unten im Blatt '"&amp;SheetBuildgData&amp;"' eintragen."</f>
        <v>Falls eine Tabelle nicht ausreichen sollte, so können Sie die Ergebnisse von anderen Blättern unten im Blatt 'Berechnung'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'Berechnung'.</v>
      </c>
      <c r="E39" s="8" t="str">
        <f>"Se una tabella non è sufficiente, è possibile inserire i risultati di altri fogli in fondo al foglio '"&amp;SheetBuildgData&amp;"'."</f>
        <v>Se una tabella non è sufficiente, è possibile inserire i risultati di altri fogli in fondo al foglio 'Berechnung'.</v>
      </c>
      <c r="F39" s="8" t="str">
        <f>"If the number of rows is insufficient, you can report the results of other tools on the bottom of sheet '"&amp;SheetBuildgData&amp;"'."</f>
        <v>If the number of rows is insufficient, you can report the results of other tools on the bottom of sheet 'Berechnung'.</v>
      </c>
    </row>
    <row r="40" spans="1:6">
      <c r="A40" s="16" t="s">
        <v>286</v>
      </c>
      <c r="B40" s="16" t="str">
        <f t="shared" si="0"/>
        <v>Bei Fragen zu Zertifizierungsobjekten steht Ihnen die zuständige Zertifizierungsstelle gerne zur Verfügung.</v>
      </c>
      <c r="C40" s="8" t="s">
        <v>117</v>
      </c>
      <c r="D40" s="8" t="s">
        <v>1082</v>
      </c>
      <c r="E40" s="8" t="s">
        <v>122</v>
      </c>
      <c r="F40" s="8" t="s">
        <v>125</v>
      </c>
    </row>
    <row r="41" spans="1:6">
      <c r="D41" s="17"/>
    </row>
    <row r="42" spans="1:6" ht="13">
      <c r="A42" s="10" t="str">
        <f>"Tabelle "&amp;SheetBuildgData</f>
        <v>Tabelle Berechnung</v>
      </c>
      <c r="B42" s="10"/>
      <c r="C42" s="10"/>
      <c r="D42" s="61"/>
      <c r="E42" s="10"/>
      <c r="F42" s="10"/>
    </row>
    <row r="43" spans="1:6" ht="13">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Berechnung Graue Energie (PEne) und Treibhausgasemissionen (THGE)</v>
      </c>
      <c r="C44" s="8" t="s">
        <v>1767</v>
      </c>
      <c r="D44" s="8" t="s">
        <v>1768</v>
      </c>
      <c r="E44" s="8" t="s">
        <v>1769</v>
      </c>
      <c r="F44" s="8" t="s">
        <v>736</v>
      </c>
    </row>
    <row r="45" spans="1:6">
      <c r="A45" s="16" t="s">
        <v>39</v>
      </c>
      <c r="B45" s="16" t="str">
        <f t="shared" si="1"/>
        <v>Allgemeine Angaben</v>
      </c>
      <c r="C45" s="8" t="s">
        <v>176</v>
      </c>
      <c r="D45" s="8" t="s">
        <v>1083</v>
      </c>
      <c r="E45" s="8" t="s">
        <v>861</v>
      </c>
      <c r="F45" s="8" t="s">
        <v>754</v>
      </c>
    </row>
    <row r="46" spans="1:6">
      <c r="A46" s="16" t="s">
        <v>41</v>
      </c>
      <c r="B46" s="16" t="str">
        <f t="shared" si="1"/>
        <v>Gebäude</v>
      </c>
      <c r="C46" s="8" t="s">
        <v>364</v>
      </c>
      <c r="D46" s="8" t="s">
        <v>1084</v>
      </c>
      <c r="E46" s="8" t="s">
        <v>862</v>
      </c>
      <c r="F46" s="8" t="s">
        <v>737</v>
      </c>
    </row>
    <row r="47" spans="1:6">
      <c r="A47" s="16" t="s">
        <v>302</v>
      </c>
      <c r="B47" s="16" t="str">
        <f t="shared" si="1"/>
        <v>Flächen</v>
      </c>
      <c r="C47" s="8" t="s">
        <v>365</v>
      </c>
      <c r="D47" s="8" t="s">
        <v>1085</v>
      </c>
      <c r="E47" s="8" t="s">
        <v>863</v>
      </c>
      <c r="F47" s="8" t="s">
        <v>738</v>
      </c>
    </row>
    <row r="48" spans="1:6">
      <c r="A48" s="16" t="s">
        <v>42</v>
      </c>
      <c r="B48" s="16" t="str">
        <f t="shared" si="1"/>
        <v>Geschosse</v>
      </c>
      <c r="C48" s="8" t="s">
        <v>366</v>
      </c>
      <c r="D48" s="8" t="s">
        <v>1086</v>
      </c>
      <c r="E48" s="8" t="s">
        <v>864</v>
      </c>
      <c r="F48" s="8" t="s">
        <v>742</v>
      </c>
    </row>
    <row r="49" spans="1:6">
      <c r="A49" s="16" t="s">
        <v>303</v>
      </c>
      <c r="B49" s="16" t="str">
        <f t="shared" si="1"/>
        <v>Gebäudetechnik</v>
      </c>
      <c r="C49" s="8" t="s">
        <v>244</v>
      </c>
      <c r="D49" s="8" t="s">
        <v>1087</v>
      </c>
      <c r="E49" s="8" t="s">
        <v>865</v>
      </c>
      <c r="F49" s="8" t="s">
        <v>739</v>
      </c>
    </row>
    <row r="50" spans="1:6">
      <c r="A50" s="16" t="s">
        <v>359</v>
      </c>
      <c r="B50" s="16" t="str">
        <f t="shared" si="1"/>
        <v>Energiebezugsfläche</v>
      </c>
      <c r="C50" s="8" t="s">
        <v>177</v>
      </c>
      <c r="D50" s="8" t="s">
        <v>1088</v>
      </c>
      <c r="E50" s="8" t="s">
        <v>866</v>
      </c>
      <c r="F50" s="8" t="s">
        <v>740</v>
      </c>
    </row>
    <row r="51" spans="1:6">
      <c r="A51" s="16" t="s">
        <v>360</v>
      </c>
      <c r="B51" s="16" t="str">
        <f t="shared" si="1"/>
        <v>Boden beheizt geg. unbeh./Erdreich</v>
      </c>
      <c r="C51" s="18" t="s">
        <v>388</v>
      </c>
      <c r="D51" s="8" t="s">
        <v>1761</v>
      </c>
      <c r="E51" s="8" t="s">
        <v>867</v>
      </c>
      <c r="F51" s="8" t="s">
        <v>741</v>
      </c>
    </row>
    <row r="52" spans="1:6">
      <c r="A52" s="16" t="s">
        <v>361</v>
      </c>
      <c r="B52" s="16" t="str">
        <f t="shared" si="1"/>
        <v>Anzahl Stockwerke unbeheizt</v>
      </c>
      <c r="C52" s="18" t="s">
        <v>173</v>
      </c>
      <c r="D52" s="8" t="s">
        <v>1089</v>
      </c>
      <c r="E52" s="8" t="s">
        <v>868</v>
      </c>
      <c r="F52" s="8" t="s">
        <v>743</v>
      </c>
    </row>
    <row r="53" spans="1:6">
      <c r="A53" s="16" t="s">
        <v>362</v>
      </c>
      <c r="B53" s="16" t="str">
        <f t="shared" si="1"/>
        <v>Mittlere Raumhöhe</v>
      </c>
      <c r="C53" s="18" t="s">
        <v>338</v>
      </c>
      <c r="D53" s="8" t="s">
        <v>1090</v>
      </c>
      <c r="E53" s="8" t="s">
        <v>869</v>
      </c>
      <c r="F53" s="8" t="s">
        <v>744</v>
      </c>
    </row>
    <row r="54" spans="1:6">
      <c r="A54" s="16" t="s">
        <v>353</v>
      </c>
      <c r="B54" s="16" t="str">
        <f t="shared" si="1"/>
        <v>Grundrisstyp (Menge Innenwände)</v>
      </c>
      <c r="C54" s="18" t="s">
        <v>1772</v>
      </c>
      <c r="D54" s="8" t="s">
        <v>1775</v>
      </c>
      <c r="E54" s="8" t="s">
        <v>1773</v>
      </c>
      <c r="F54" s="8" t="s">
        <v>1774</v>
      </c>
    </row>
    <row r="55" spans="1:6">
      <c r="A55" s="16" t="s">
        <v>363</v>
      </c>
      <c r="B55" s="16" t="str">
        <f t="shared" si="1"/>
        <v>Photovoltaik-Anlage (Absorberfläche)</v>
      </c>
      <c r="C55" s="18" t="s">
        <v>339</v>
      </c>
      <c r="D55" s="8" t="s">
        <v>1747</v>
      </c>
      <c r="E55" s="8" t="s">
        <v>1762</v>
      </c>
      <c r="F55" s="8" t="s">
        <v>745</v>
      </c>
    </row>
    <row r="56" spans="1:6">
      <c r="A56" s="16" t="s">
        <v>356</v>
      </c>
      <c r="B56" s="16" t="str">
        <f t="shared" si="1"/>
        <v>Therm. Solaranlage (Absorberfläche)</v>
      </c>
      <c r="C56" s="18" t="s">
        <v>387</v>
      </c>
      <c r="D56" s="8" t="s">
        <v>1748</v>
      </c>
      <c r="E56" s="8" t="s">
        <v>1749</v>
      </c>
      <c r="F56" s="8" t="s">
        <v>746</v>
      </c>
    </row>
    <row r="57" spans="1:6">
      <c r="A57" s="16" t="s">
        <v>354</v>
      </c>
      <c r="B57" s="16" t="str">
        <f t="shared" si="1"/>
        <v>Geschossfläche</v>
      </c>
      <c r="C57" s="8" t="s">
        <v>178</v>
      </c>
      <c r="D57" s="8" t="s">
        <v>1092</v>
      </c>
      <c r="E57" s="8" t="s">
        <v>870</v>
      </c>
      <c r="F57" s="8" t="s">
        <v>747</v>
      </c>
    </row>
    <row r="58" spans="1:6">
      <c r="A58" s="16" t="s">
        <v>355</v>
      </c>
      <c r="B58" s="16" t="str">
        <f>INDEX($C58:$F58,1,MATCH(Sprachwahl,ListSprache,0))</f>
        <v>Geschossfläche in Untergeschossen</v>
      </c>
      <c r="C58" s="8" t="s">
        <v>181</v>
      </c>
      <c r="D58" s="8" t="s">
        <v>1093</v>
      </c>
      <c r="E58" s="8" t="s">
        <v>871</v>
      </c>
      <c r="F58" s="8" t="s">
        <v>748</v>
      </c>
    </row>
    <row r="59" spans="1:6">
      <c r="A59" s="16" t="s">
        <v>357</v>
      </c>
      <c r="B59" s="16" t="str">
        <f t="shared" si="1"/>
        <v>Anzahl Stockwerke unter Terrain</v>
      </c>
      <c r="C59" s="18" t="s">
        <v>174</v>
      </c>
      <c r="D59" s="8" t="s">
        <v>1094</v>
      </c>
      <c r="E59" s="8" t="s">
        <v>872</v>
      </c>
      <c r="F59" s="8" t="s">
        <v>749</v>
      </c>
    </row>
    <row r="60" spans="1:6">
      <c r="A60" s="16" t="s">
        <v>368</v>
      </c>
      <c r="B60" s="16" t="str">
        <f t="shared" si="1"/>
        <v xml:space="preserve">Erdsonde  </v>
      </c>
      <c r="C60" s="18" t="s">
        <v>172</v>
      </c>
      <c r="D60" s="8" t="s">
        <v>1095</v>
      </c>
      <c r="E60" s="8" t="s">
        <v>873</v>
      </c>
      <c r="F60" s="8" t="s">
        <v>750</v>
      </c>
    </row>
    <row r="61" spans="1:6">
      <c r="A61" s="16" t="s">
        <v>358</v>
      </c>
      <c r="B61" s="16" t="str">
        <f t="shared" si="1"/>
        <v>Energiestandard Gebäude</v>
      </c>
      <c r="C61" s="18" t="s">
        <v>324</v>
      </c>
      <c r="D61" s="8" t="s">
        <v>1096</v>
      </c>
      <c r="E61" s="8" t="s">
        <v>874</v>
      </c>
      <c r="F61" s="8" t="s">
        <v>751</v>
      </c>
    </row>
    <row r="62" spans="1:6">
      <c r="A62" s="16" t="s">
        <v>141</v>
      </c>
      <c r="B62" s="16" t="str">
        <f>INDEX($C62:$E62,1,MATCH(Sprachwahl,ListSprache,0))</f>
        <v>Bauteile und Gebäudetechnik</v>
      </c>
      <c r="C62" s="8" t="s">
        <v>182</v>
      </c>
      <c r="D62" s="8" t="s">
        <v>1097</v>
      </c>
      <c r="E62" s="8" t="s">
        <v>875</v>
      </c>
      <c r="F62" s="8" t="s">
        <v>755</v>
      </c>
    </row>
    <row r="63" spans="1:6">
      <c r="A63" s="16" t="s">
        <v>165</v>
      </c>
      <c r="B63" s="16" t="str">
        <f>INDEX($C63:$E63,1,MATCH(Sprachwahl,ListSprache,0))</f>
        <v>eBKP-H</v>
      </c>
      <c r="C63" s="8" t="s">
        <v>179</v>
      </c>
      <c r="D63" s="8" t="s">
        <v>1098</v>
      </c>
      <c r="E63" s="8" t="s">
        <v>876</v>
      </c>
      <c r="F63" s="8" t="s">
        <v>179</v>
      </c>
    </row>
    <row r="64" spans="1:6">
      <c r="A64" s="16" t="s">
        <v>380</v>
      </c>
      <c r="B64" s="16" t="str">
        <f>INDEX($C64:$E64,1,MATCH(Sprachwahl,ListSprache,0))</f>
        <v>Bauteil-Bezeichnung</v>
      </c>
      <c r="C64" s="8" t="s">
        <v>183</v>
      </c>
      <c r="D64" s="8" t="s">
        <v>1099</v>
      </c>
      <c r="E64" s="8" t="s">
        <v>877</v>
      </c>
      <c r="F64" s="8" t="s">
        <v>756</v>
      </c>
    </row>
    <row r="65" spans="1:6">
      <c r="A65" s="16" t="s">
        <v>381</v>
      </c>
      <c r="B65" s="16" t="str">
        <f>INDEX($C65:$E65,1,MATCH(Sprachwahl,ListSprache,0))</f>
        <v>Energiestandard</v>
      </c>
      <c r="C65" s="8" t="s">
        <v>217</v>
      </c>
      <c r="D65" s="8" t="s">
        <v>1100</v>
      </c>
      <c r="E65" s="8" t="s">
        <v>878</v>
      </c>
      <c r="F65" s="8" t="s">
        <v>730</v>
      </c>
    </row>
    <row r="66" spans="1:6">
      <c r="A66" s="16" t="s">
        <v>382</v>
      </c>
      <c r="B66" s="16" t="str">
        <f t="shared" si="1"/>
        <v xml:space="preserve">Ausmass
</v>
      </c>
      <c r="C66" s="8" t="s">
        <v>1737</v>
      </c>
      <c r="D66" s="8" t="s">
        <v>1738</v>
      </c>
      <c r="E66" s="8" t="s">
        <v>1739</v>
      </c>
      <c r="F66" s="8" t="s">
        <v>1740</v>
      </c>
    </row>
    <row r="67" spans="1:6">
      <c r="A67" s="16" t="s">
        <v>383</v>
      </c>
      <c r="B67" s="16" t="str">
        <f t="shared" si="1"/>
        <v>Einh.</v>
      </c>
      <c r="C67" s="8" t="s">
        <v>1741</v>
      </c>
      <c r="D67" s="8" t="s">
        <v>1743</v>
      </c>
      <c r="E67" s="8" t="s">
        <v>1744</v>
      </c>
      <c r="F67" s="8" t="s">
        <v>1742</v>
      </c>
    </row>
    <row r="68" spans="1:6">
      <c r="A68" s="16" t="s">
        <v>384</v>
      </c>
      <c r="B68" s="16" t="str">
        <f t="shared" si="1"/>
        <v>Link</v>
      </c>
      <c r="C68" s="8" t="s">
        <v>185</v>
      </c>
      <c r="D68" s="8" t="s">
        <v>1101</v>
      </c>
      <c r="E68" s="8" t="s">
        <v>185</v>
      </c>
      <c r="F68" s="8" t="s">
        <v>185</v>
      </c>
    </row>
    <row r="69" spans="1:6">
      <c r="A69" s="16" t="s">
        <v>385</v>
      </c>
      <c r="B69" s="16" t="str">
        <f t="shared" si="1"/>
        <v>PEne
kWh/m2</v>
      </c>
      <c r="C69" s="8" t="s">
        <v>231</v>
      </c>
      <c r="D69" s="8" t="s">
        <v>1746</v>
      </c>
      <c r="E69" s="8" t="s">
        <v>1746</v>
      </c>
      <c r="F69" s="8" t="s">
        <v>231</v>
      </c>
    </row>
    <row r="70" spans="1:6">
      <c r="A70" s="16" t="s">
        <v>1736</v>
      </c>
      <c r="B70" s="16" t="str">
        <f>INDEX($C70:$F70,1,MATCH(Sprachwahl,ListSprache,0))</f>
        <v>THGE
kg/m2</v>
      </c>
      <c r="C70" s="8" t="s">
        <v>186</v>
      </c>
      <c r="D70" s="8" t="s">
        <v>1771</v>
      </c>
      <c r="E70" s="8" t="s">
        <v>1770</v>
      </c>
      <c r="F70" s="8" t="s">
        <v>1745</v>
      </c>
    </row>
    <row r="71" spans="1:6">
      <c r="A71" s="16" t="s">
        <v>367</v>
      </c>
      <c r="B71" s="16" t="str">
        <f t="shared" si="1"/>
        <v>Übertrag aus anderen Rechenblättern</v>
      </c>
      <c r="C71" s="8" t="s">
        <v>301</v>
      </c>
      <c r="D71" s="8" t="s">
        <v>1102</v>
      </c>
      <c r="E71" s="8" t="s">
        <v>879</v>
      </c>
      <c r="F71" s="8" t="s">
        <v>757</v>
      </c>
    </row>
    <row r="72" spans="1:6">
      <c r="A72" s="16" t="s">
        <v>386</v>
      </c>
      <c r="B72" s="16" t="str">
        <f t="shared" si="1"/>
        <v>Projektwerte</v>
      </c>
      <c r="C72" s="8" t="s">
        <v>292</v>
      </c>
      <c r="D72" s="8" t="s">
        <v>1070</v>
      </c>
      <c r="E72" s="8" t="s">
        <v>1807</v>
      </c>
      <c r="F72" s="8" t="s">
        <v>1808</v>
      </c>
    </row>
    <row r="73" spans="1:6">
      <c r="A73" s="16" t="s">
        <v>337</v>
      </c>
      <c r="B73" s="16" t="str">
        <f t="shared" si="1"/>
        <v>Fehler in Eingabefeld</v>
      </c>
      <c r="C73" s="39" t="s">
        <v>335</v>
      </c>
      <c r="D73" s="8" t="s">
        <v>1103</v>
      </c>
      <c r="E73" s="8" t="s">
        <v>880</v>
      </c>
      <c r="F73" s="8" t="s">
        <v>731</v>
      </c>
    </row>
    <row r="74" spans="1:6">
      <c r="A74" s="16" t="s">
        <v>184</v>
      </c>
      <c r="B74" s="16" t="str">
        <f t="shared" si="1"/>
        <v>Lüftungsanlage ersetzt oder neu?</v>
      </c>
      <c r="C74" s="8" t="s">
        <v>371</v>
      </c>
      <c r="D74" s="8" t="s">
        <v>1750</v>
      </c>
      <c r="E74" s="8" t="s">
        <v>1034</v>
      </c>
      <c r="F74" s="8" t="s">
        <v>732</v>
      </c>
    </row>
    <row r="75" spans="1:6">
      <c r="A75" s="16" t="s">
        <v>379</v>
      </c>
      <c r="B75" s="16" t="str">
        <f t="shared" si="1"/>
        <v>Sanitäranlage ersetzt oder neu?</v>
      </c>
      <c r="C75" s="8" t="s">
        <v>372</v>
      </c>
      <c r="D75" s="8" t="s">
        <v>1751</v>
      </c>
      <c r="E75" s="8" t="s">
        <v>1756</v>
      </c>
      <c r="F75" s="8" t="s">
        <v>733</v>
      </c>
    </row>
    <row r="76" spans="1:6">
      <c r="A76" s="16" t="s">
        <v>378</v>
      </c>
      <c r="B76" s="16" t="str">
        <f t="shared" si="1"/>
        <v>Elektroanlagen ersetzt oder neu?</v>
      </c>
      <c r="C76" s="8" t="s">
        <v>373</v>
      </c>
      <c r="D76" s="8" t="s">
        <v>1752</v>
      </c>
      <c r="E76" s="8" t="s">
        <v>1757</v>
      </c>
      <c r="F76" s="8" t="s">
        <v>734</v>
      </c>
    </row>
    <row r="77" spans="1:6">
      <c r="A77" s="16" t="s">
        <v>369</v>
      </c>
      <c r="B77" s="16" t="str">
        <f t="shared" si="1"/>
        <v>Wärmeerzeugung ersetzt oder neu?</v>
      </c>
      <c r="C77" s="8" t="s">
        <v>374</v>
      </c>
      <c r="D77" s="8" t="s">
        <v>1753</v>
      </c>
      <c r="E77" s="8" t="s">
        <v>1758</v>
      </c>
      <c r="F77" s="8" t="s">
        <v>758</v>
      </c>
    </row>
    <row r="78" spans="1:6">
      <c r="A78" s="16" t="s">
        <v>370</v>
      </c>
      <c r="B78" s="16" t="str">
        <f t="shared" si="1"/>
        <v>Wärmeverteilung ersetzt oder neu?</v>
      </c>
      <c r="C78" s="8" t="s">
        <v>375</v>
      </c>
      <c r="D78" s="8" t="s">
        <v>1754</v>
      </c>
      <c r="E78" s="8" t="s">
        <v>1759</v>
      </c>
      <c r="F78" s="8" t="s">
        <v>735</v>
      </c>
    </row>
    <row r="79" spans="1:6">
      <c r="A79" s="16" t="s">
        <v>377</v>
      </c>
      <c r="B79" s="16" t="str">
        <f t="shared" si="1"/>
        <v>Wärmeabgabe ersetzt oder neu?</v>
      </c>
      <c r="C79" s="8" t="s">
        <v>376</v>
      </c>
      <c r="D79" s="8" t="s">
        <v>1755</v>
      </c>
      <c r="E79" s="8" t="s">
        <v>1760</v>
      </c>
      <c r="F79" s="8" t="s">
        <v>759</v>
      </c>
    </row>
    <row r="80" spans="1:6">
      <c r="A80" s="16" t="s">
        <v>2365</v>
      </c>
      <c r="B80" s="16" t="str">
        <f t="shared" si="1"/>
        <v>Ergebnis</v>
      </c>
      <c r="C80" s="8" t="s">
        <v>442</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ht="13">
      <c r="A86" s="10" t="str">
        <f>"Tabelle "&amp;SheetQuestionaire</f>
        <v>Tabelle Fragenkatalog_Modernisierung</v>
      </c>
      <c r="B86" s="10"/>
      <c r="C86" s="10"/>
      <c r="D86" s="61"/>
      <c r="E86" s="10"/>
      <c r="F86" s="10"/>
    </row>
    <row r="87" spans="1:6" ht="13">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Fragenkatalog Erneuerung Graue Energie/THGE</v>
      </c>
      <c r="C88" s="8" t="s">
        <v>2414</v>
      </c>
      <c r="D88" s="8" t="s">
        <v>2412</v>
      </c>
      <c r="E88" s="84" t="s">
        <v>2413</v>
      </c>
      <c r="F88" s="8" t="s">
        <v>93</v>
      </c>
    </row>
    <row r="89" spans="1:6">
      <c r="A89" s="16" t="s">
        <v>39</v>
      </c>
      <c r="B89" s="16" t="str">
        <f t="shared" si="2"/>
        <v>Fragen</v>
      </c>
      <c r="C89" s="8" t="s">
        <v>17</v>
      </c>
      <c r="D89" s="8" t="s">
        <v>1104</v>
      </c>
      <c r="E89" s="84" t="s">
        <v>90</v>
      </c>
      <c r="F89" s="8" t="s">
        <v>94</v>
      </c>
    </row>
    <row r="90" spans="1:6">
      <c r="A90" s="16" t="s">
        <v>56</v>
      </c>
      <c r="B90" s="16" t="str">
        <f t="shared" si="2"/>
        <v>Antwort</v>
      </c>
      <c r="C90" s="8" t="s">
        <v>18</v>
      </c>
      <c r="D90" s="8" t="s">
        <v>72</v>
      </c>
      <c r="E90" s="84" t="s">
        <v>91</v>
      </c>
      <c r="F90" s="8" t="s">
        <v>95</v>
      </c>
    </row>
    <row r="91" spans="1:6">
      <c r="A91" s="16" t="s">
        <v>41</v>
      </c>
      <c r="B91" s="16" t="str">
        <f t="shared" si="2"/>
        <v>Objektgrösse</v>
      </c>
      <c r="C91" s="8" t="s">
        <v>166</v>
      </c>
      <c r="D91" s="8" t="s">
        <v>1105</v>
      </c>
      <c r="E91" s="84" t="s">
        <v>881</v>
      </c>
      <c r="F91" s="8" t="s">
        <v>1307</v>
      </c>
    </row>
    <row r="92" spans="1:6" ht="37.5">
      <c r="A92" s="16" t="s">
        <v>159</v>
      </c>
      <c r="B92" s="16" t="str">
        <f t="shared" si="2"/>
        <v>Das Objekt ist ein Wohngebäude mit einer Energiebezugsfläche von weniger als 5'000 m2 oder ein anderer Gebäudetyp mit einer Energiebezugsfläche von weniger als 2'000 m2.</v>
      </c>
      <c r="C92" s="8" t="s">
        <v>155</v>
      </c>
      <c r="D92" s="8" t="s">
        <v>1788</v>
      </c>
      <c r="E92" s="84" t="s">
        <v>2427</v>
      </c>
      <c r="F92" s="8" t="s">
        <v>1308</v>
      </c>
    </row>
    <row r="93" spans="1:6">
      <c r="A93" s="16" t="s">
        <v>57</v>
      </c>
      <c r="B93" s="16" t="str">
        <f t="shared" si="2"/>
        <v>Kompaktheit</v>
      </c>
      <c r="C93" s="8" t="s">
        <v>167</v>
      </c>
      <c r="D93" s="8" t="s">
        <v>1106</v>
      </c>
      <c r="E93" s="84" t="s">
        <v>882</v>
      </c>
      <c r="F93" s="8" t="s">
        <v>1309</v>
      </c>
    </row>
    <row r="94" spans="1:6" ht="37.5">
      <c r="A94" s="16" t="s">
        <v>160</v>
      </c>
      <c r="B94" s="16" t="str">
        <f t="shared" si="2"/>
        <v>Die Kompaktheit des Gebäudes (Verhältnis zwischen thermischer Hüllfläche Ath und Energie-bezugsfläche AE) ist gleich geblieben oder hat sich verbessert.</v>
      </c>
      <c r="C94" s="8" t="s">
        <v>157</v>
      </c>
      <c r="D94" s="8" t="s">
        <v>1107</v>
      </c>
      <c r="E94" s="84" t="s">
        <v>2422</v>
      </c>
      <c r="F94" s="8" t="s">
        <v>1310</v>
      </c>
    </row>
    <row r="95" spans="1:6">
      <c r="A95" s="16" t="s">
        <v>58</v>
      </c>
      <c r="B95" s="16" t="str">
        <f t="shared" si="2"/>
        <v>Eingriffstiefe</v>
      </c>
      <c r="C95" s="8" t="s">
        <v>168</v>
      </c>
      <c r="D95" s="8" t="s">
        <v>1108</v>
      </c>
      <c r="E95" s="84" t="s">
        <v>2423</v>
      </c>
      <c r="F95" s="8" t="s">
        <v>1311</v>
      </c>
    </row>
    <row r="96" spans="1:6" ht="25">
      <c r="A96" s="16" t="s">
        <v>161</v>
      </c>
      <c r="B96" s="16" t="str">
        <f t="shared" si="2"/>
        <v>Der überwiegende Teil der bestehenden Bauteile werden beibehalten (keine Auskernung, kein Rückbau auf den Rohbau).</v>
      </c>
      <c r="C96" s="8" t="s">
        <v>156</v>
      </c>
      <c r="D96" s="8" t="s">
        <v>1109</v>
      </c>
      <c r="E96" s="84" t="s">
        <v>2424</v>
      </c>
      <c r="F96" s="8" t="s">
        <v>1312</v>
      </c>
    </row>
    <row r="97" spans="1:6">
      <c r="A97" s="16" t="s">
        <v>43</v>
      </c>
      <c r="B97" s="16" t="str">
        <f t="shared" si="2"/>
        <v>Konstruktion Aussenwände über Terrain und Dach</v>
      </c>
      <c r="C97" s="8" t="s">
        <v>169</v>
      </c>
      <c r="D97" s="8" t="s">
        <v>1110</v>
      </c>
      <c r="E97" s="84" t="s">
        <v>2425</v>
      </c>
      <c r="F97" s="8" t="s">
        <v>1313</v>
      </c>
    </row>
    <row r="98" spans="1:6" ht="137.5">
      <c r="A98" s="16" t="s">
        <v>162</v>
      </c>
      <c r="B98" s="16" t="str">
        <f t="shared" si="2"/>
        <v>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v>
      </c>
      <c r="C98" s="17" t="s">
        <v>2433</v>
      </c>
      <c r="D98" s="8" t="s">
        <v>1111</v>
      </c>
      <c r="E98" s="84" t="s">
        <v>2428</v>
      </c>
      <c r="F98" s="8" t="s">
        <v>1314</v>
      </c>
    </row>
    <row r="99" spans="1:6">
      <c r="A99" s="16" t="s">
        <v>59</v>
      </c>
      <c r="B99" s="16" t="str">
        <f t="shared" si="2"/>
        <v>Erweiterungen</v>
      </c>
      <c r="C99" s="8" t="s">
        <v>170</v>
      </c>
      <c r="D99" s="8" t="s">
        <v>1789</v>
      </c>
      <c r="E99" s="84" t="s">
        <v>883</v>
      </c>
      <c r="F99" s="8" t="s">
        <v>1315</v>
      </c>
    </row>
    <row r="100" spans="1:6" ht="62.5">
      <c r="A100" s="16" t="s">
        <v>163</v>
      </c>
      <c r="B100" s="16" t="str">
        <f t="shared" si="2"/>
        <v xml:space="preserve">Das Gebäudevolumen wurde nicht vergrössert (ausgenommen sind Vergrösserungen, die sich durch zusätzliche Dämmschichten ergeben).
Oder die Geschossfläche des zusätzlichen Volumens beträgt nicht mehr als 20% der bestehenden Geschossfläche.
</v>
      </c>
      <c r="C100" s="17" t="s">
        <v>2434</v>
      </c>
      <c r="D100" s="8" t="s">
        <v>1112</v>
      </c>
      <c r="E100" s="84" t="s">
        <v>2426</v>
      </c>
      <c r="F100" s="8" t="s">
        <v>1316</v>
      </c>
    </row>
    <row r="101" spans="1:6">
      <c r="A101" s="16" t="s">
        <v>154</v>
      </c>
      <c r="B101" s="16" t="str">
        <f t="shared" si="2"/>
        <v>Fenster</v>
      </c>
      <c r="C101" s="8" t="s">
        <v>22</v>
      </c>
      <c r="D101" s="8" t="s">
        <v>1113</v>
      </c>
      <c r="E101" s="84" t="s">
        <v>884</v>
      </c>
      <c r="F101" s="8" t="s">
        <v>1317</v>
      </c>
    </row>
    <row r="102" spans="1:6" ht="50">
      <c r="A102" s="16" t="s">
        <v>164</v>
      </c>
      <c r="B102" s="16" t="str">
        <f t="shared" si="2"/>
        <v xml:space="preserve">Die Fensterflächen in der Fassade und dem Dach wurden maximal um 20% vergrössert und die Rahmen von ersetzten oder neuen Fenstern bestehen aus Holz oder Holz-Metall. 
</v>
      </c>
      <c r="C102" s="17" t="s">
        <v>2432</v>
      </c>
      <c r="D102" s="8" t="s">
        <v>1114</v>
      </c>
      <c r="E102" s="84" t="s">
        <v>2421</v>
      </c>
      <c r="F102" s="8" t="s">
        <v>1318</v>
      </c>
    </row>
    <row r="103" spans="1:6">
      <c r="A103" s="16" t="s">
        <v>44</v>
      </c>
      <c r="B103" s="16" t="str">
        <f t="shared" si="2"/>
        <v>Anpassung Tragstruktur</v>
      </c>
      <c r="C103" s="8" t="s">
        <v>171</v>
      </c>
      <c r="D103" s="8" t="s">
        <v>1115</v>
      </c>
      <c r="E103" s="84" t="s">
        <v>885</v>
      </c>
      <c r="F103" s="8" t="s">
        <v>1319</v>
      </c>
    </row>
    <row r="104" spans="1:6" ht="37.5">
      <c r="A104" s="16" t="s">
        <v>165</v>
      </c>
      <c r="B104" s="16" t="str">
        <f t="shared" si="2"/>
        <v>Die tragenden Bauteile des Gebäudes wurden nicht verändert (ausgenommen sind einzelne Durchbrüche bis 3 m2 Fläche in tragenden Wänden sowie Verstärkungen zur Erdbebenertüchtigung).</v>
      </c>
      <c r="C104" s="8" t="s">
        <v>158</v>
      </c>
      <c r="D104" s="8" t="s">
        <v>1790</v>
      </c>
      <c r="E104" s="84" t="s">
        <v>886</v>
      </c>
      <c r="F104" s="8" t="s">
        <v>1320</v>
      </c>
    </row>
    <row r="105" spans="1:6">
      <c r="A105" s="16" t="s">
        <v>60</v>
      </c>
      <c r="B105" s="16" t="str">
        <f t="shared" si="2"/>
        <v>Resultat</v>
      </c>
      <c r="C105" s="8" t="s">
        <v>108</v>
      </c>
      <c r="D105" s="8" t="s">
        <v>109</v>
      </c>
      <c r="E105" s="84" t="s">
        <v>110</v>
      </c>
      <c r="F105" s="8" t="s">
        <v>111</v>
      </c>
    </row>
    <row r="106" spans="1:6" ht="25">
      <c r="A106" s="16" t="s">
        <v>61</v>
      </c>
      <c r="B106" s="16" t="str">
        <f t="shared" si="2"/>
        <v>Dieses Arbeitsblatt ist nur bei Erneuerungen auszufüllen.</v>
      </c>
      <c r="C106" s="8" t="s">
        <v>2411</v>
      </c>
      <c r="D106" s="8" t="s">
        <v>1116</v>
      </c>
      <c r="E106" s="84" t="s">
        <v>92</v>
      </c>
      <c r="F106" s="8" t="s">
        <v>96</v>
      </c>
    </row>
    <row r="107" spans="1:6" s="60" customFormat="1" ht="25">
      <c r="A107" s="83" t="s">
        <v>61</v>
      </c>
      <c r="B107" s="83" t="str">
        <f t="shared" si="2"/>
        <v>Die Anforderungen von Minergie-ECO an Erneuerungen sind erfüllt.
Eine detaillierte Berechnung ist nicht erforderlich.</v>
      </c>
      <c r="C107" s="84" t="s">
        <v>2415</v>
      </c>
      <c r="D107" s="84" t="s">
        <v>2416</v>
      </c>
      <c r="E107" s="84" t="s">
        <v>2417</v>
      </c>
      <c r="F107" s="84" t="s">
        <v>2418</v>
      </c>
    </row>
    <row r="108" spans="1:6">
      <c r="A108" s="16" t="s">
        <v>61</v>
      </c>
      <c r="B108" s="16" t="str">
        <f t="shared" si="2"/>
        <v>Bitte führen Sie eine detaillierte Berechnung durch.</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'Berechnung')</v>
      </c>
    </row>
    <row r="109" spans="1:6">
      <c r="A109" s="16" t="s">
        <v>61</v>
      </c>
      <c r="B109" s="16" t="str">
        <f t="shared" si="2"/>
        <v>Bitte füllen Sie diesen Fragebogen vollständig aus.</v>
      </c>
      <c r="C109" s="8" t="s">
        <v>389</v>
      </c>
      <c r="D109" s="8" t="s">
        <v>1117</v>
      </c>
      <c r="E109" s="84" t="s">
        <v>2420</v>
      </c>
      <c r="F109" s="8" t="s">
        <v>1321</v>
      </c>
    </row>
    <row r="110" spans="1:6">
      <c r="D110" s="17"/>
    </row>
    <row r="111" spans="1:6" ht="13">
      <c r="A111" s="10" t="s">
        <v>54</v>
      </c>
      <c r="B111" s="10"/>
      <c r="C111" s="10"/>
      <c r="D111" s="61"/>
      <c r="E111" s="10"/>
      <c r="F111" s="10"/>
    </row>
    <row r="112" spans="1:6" ht="13">
      <c r="A112" s="10" t="s">
        <v>37</v>
      </c>
      <c r="B112" s="10" t="s">
        <v>38</v>
      </c>
      <c r="C112" s="10" t="str">
        <f>C$4</f>
        <v>Deutsch</v>
      </c>
      <c r="D112" s="61" t="str">
        <f>D$4</f>
        <v>Francais</v>
      </c>
      <c r="E112" s="10" t="str">
        <f>E$4</f>
        <v>Italiano</v>
      </c>
      <c r="F112" s="10" t="str">
        <f>F$4</f>
        <v>English</v>
      </c>
    </row>
    <row r="113" spans="1:6">
      <c r="A113" s="16" t="s">
        <v>332</v>
      </c>
      <c r="B113" s="16" t="str">
        <f t="shared" ref="B113:B147" si="3">INDEX($C113:$F113,1,MATCH(Sprachwahl,ListSprache,0))</f>
        <v>Wohnen MFH</v>
      </c>
      <c r="C113" s="39" t="s">
        <v>147</v>
      </c>
      <c r="D113" s="62" t="s">
        <v>1118</v>
      </c>
      <c r="E113" s="39" t="s">
        <v>887</v>
      </c>
      <c r="F113" s="8" t="s">
        <v>1331</v>
      </c>
    </row>
    <row r="114" spans="1:6">
      <c r="A114" s="16"/>
      <c r="B114" s="16" t="str">
        <f t="shared" si="3"/>
        <v>Kleine Wohnbauten</v>
      </c>
      <c r="C114" s="39" t="s">
        <v>323</v>
      </c>
      <c r="D114" s="62" t="s">
        <v>1119</v>
      </c>
      <c r="E114" s="39" t="s">
        <v>888</v>
      </c>
      <c r="F114" s="8" t="s">
        <v>1322</v>
      </c>
    </row>
    <row r="115" spans="1:6">
      <c r="A115" s="16"/>
      <c r="B115" s="16" t="str">
        <f t="shared" si="3"/>
        <v>Verwaltung</v>
      </c>
      <c r="C115" s="39" t="s">
        <v>21</v>
      </c>
      <c r="D115" s="62" t="s">
        <v>1120</v>
      </c>
      <c r="E115" s="39" t="s">
        <v>889</v>
      </c>
      <c r="F115" s="8" t="s">
        <v>1323</v>
      </c>
    </row>
    <row r="116" spans="1:6">
      <c r="A116" s="16"/>
      <c r="B116" s="16" t="str">
        <f t="shared" si="3"/>
        <v>Schule</v>
      </c>
      <c r="C116" s="39" t="s">
        <v>3</v>
      </c>
      <c r="D116" s="62" t="s">
        <v>1121</v>
      </c>
      <c r="E116" s="39" t="s">
        <v>890</v>
      </c>
      <c r="F116" s="8" t="s">
        <v>1324</v>
      </c>
    </row>
    <row r="117" spans="1:6">
      <c r="A117" s="16"/>
      <c r="B117" s="16" t="str">
        <f t="shared" si="3"/>
        <v>Verkauf</v>
      </c>
      <c r="C117" s="39" t="s">
        <v>148</v>
      </c>
      <c r="D117" s="62" t="s">
        <v>1122</v>
      </c>
      <c r="E117" s="39" t="s">
        <v>891</v>
      </c>
      <c r="F117" s="8" t="s">
        <v>1325</v>
      </c>
    </row>
    <row r="118" spans="1:6">
      <c r="A118" s="16"/>
      <c r="B118" s="16" t="str">
        <f t="shared" si="3"/>
        <v>Restaurant</v>
      </c>
      <c r="C118" s="39" t="s">
        <v>2</v>
      </c>
      <c r="D118" s="17" t="s">
        <v>1123</v>
      </c>
      <c r="E118" s="8" t="s">
        <v>892</v>
      </c>
      <c r="F118" s="8" t="s">
        <v>2</v>
      </c>
    </row>
    <row r="119" spans="1:6">
      <c r="A119" s="16"/>
      <c r="B119" s="16" t="str">
        <f t="shared" si="3"/>
        <v>Museen</v>
      </c>
      <c r="C119" s="39" t="s">
        <v>321</v>
      </c>
      <c r="D119" s="17" t="s">
        <v>1124</v>
      </c>
      <c r="E119" s="8" t="s">
        <v>893</v>
      </c>
      <c r="F119" s="8" t="s">
        <v>1326</v>
      </c>
    </row>
    <row r="120" spans="1:6">
      <c r="A120" s="16"/>
      <c r="B120" s="16" t="str">
        <f t="shared" si="3"/>
        <v>Spital</v>
      </c>
      <c r="C120" s="39" t="s">
        <v>149</v>
      </c>
      <c r="D120" s="62" t="s">
        <v>1125</v>
      </c>
      <c r="E120" s="39" t="s">
        <v>894</v>
      </c>
      <c r="F120" s="8" t="s">
        <v>1327</v>
      </c>
    </row>
    <row r="121" spans="1:6">
      <c r="A121" s="16"/>
      <c r="B121" s="16" t="str">
        <f t="shared" si="3"/>
        <v>Industrie</v>
      </c>
      <c r="C121" s="39" t="s">
        <v>150</v>
      </c>
      <c r="D121" s="62" t="s">
        <v>1126</v>
      </c>
      <c r="E121" s="39" t="s">
        <v>895</v>
      </c>
      <c r="F121" s="8" t="s">
        <v>1328</v>
      </c>
    </row>
    <row r="122" spans="1:6">
      <c r="A122" s="16"/>
      <c r="B122" s="16" t="str">
        <f t="shared" si="3"/>
        <v>Kleine Schulbauten</v>
      </c>
      <c r="C122" s="40" t="s">
        <v>322</v>
      </c>
      <c r="D122" s="14" t="s">
        <v>1127</v>
      </c>
      <c r="E122" s="40" t="s">
        <v>896</v>
      </c>
      <c r="F122" s="8" t="s">
        <v>1329</v>
      </c>
    </row>
    <row r="123" spans="1:6">
      <c r="A123" s="16"/>
      <c r="B123" s="16" t="str">
        <f t="shared" si="3"/>
        <v>Sportbauten</v>
      </c>
      <c r="C123" s="40" t="s">
        <v>151</v>
      </c>
      <c r="D123" s="14" t="s">
        <v>1128</v>
      </c>
      <c r="E123" s="40" t="s">
        <v>897</v>
      </c>
      <c r="F123" s="8" t="s">
        <v>1330</v>
      </c>
    </row>
    <row r="124" spans="1:6">
      <c r="A124" s="16"/>
      <c r="B124" s="16">
        <f t="shared" si="3"/>
        <v>0</v>
      </c>
      <c r="C124" s="39"/>
      <c r="D124" s="62"/>
      <c r="E124" s="39"/>
    </row>
    <row r="125" spans="1:6">
      <c r="A125" s="16" t="s">
        <v>333</v>
      </c>
      <c r="B125" s="16" t="str">
        <f t="shared" si="3"/>
        <v>Verwaltung</v>
      </c>
      <c r="C125" s="39" t="s">
        <v>21</v>
      </c>
      <c r="D125" s="62" t="s">
        <v>1120</v>
      </c>
      <c r="E125" s="39" t="s">
        <v>889</v>
      </c>
      <c r="F125" s="8" t="s">
        <v>1323</v>
      </c>
    </row>
    <row r="126" spans="1:6">
      <c r="A126" s="16"/>
      <c r="B126" s="16" t="str">
        <f t="shared" si="3"/>
        <v>Schule</v>
      </c>
      <c r="C126" s="9" t="s">
        <v>3</v>
      </c>
      <c r="D126" s="62" t="s">
        <v>1129</v>
      </c>
      <c r="E126" s="39" t="s">
        <v>890</v>
      </c>
      <c r="F126" s="8" t="s">
        <v>1324</v>
      </c>
    </row>
    <row r="127" spans="1:6">
      <c r="A127" s="16"/>
      <c r="B127" s="16" t="str">
        <f t="shared" si="3"/>
        <v>Wohnen MFH</v>
      </c>
      <c r="C127" s="9" t="s">
        <v>147</v>
      </c>
      <c r="D127" s="62" t="s">
        <v>1130</v>
      </c>
      <c r="E127" s="39" t="s">
        <v>898</v>
      </c>
      <c r="F127" s="8" t="s">
        <v>1331</v>
      </c>
    </row>
    <row r="128" spans="1:6">
      <c r="A128" s="16"/>
      <c r="B128" s="16">
        <f t="shared" si="3"/>
        <v>0</v>
      </c>
      <c r="C128" s="39"/>
      <c r="D128" s="62"/>
      <c r="E128" s="39"/>
    </row>
    <row r="129" spans="1:6">
      <c r="A129" s="16" t="s">
        <v>334</v>
      </c>
      <c r="B129" s="16" t="str">
        <f t="shared" si="3"/>
        <v>Wohnen</v>
      </c>
      <c r="C129" s="39" t="s">
        <v>245</v>
      </c>
      <c r="D129" s="62" t="s">
        <v>1131</v>
      </c>
      <c r="E129" s="39" t="s">
        <v>899</v>
      </c>
      <c r="F129" s="8" t="s">
        <v>1331</v>
      </c>
    </row>
    <row r="130" spans="1:6">
      <c r="A130" s="16"/>
      <c r="B130" s="16" t="str">
        <f t="shared" si="3"/>
        <v>Verwaltung</v>
      </c>
      <c r="C130" s="5" t="s">
        <v>21</v>
      </c>
      <c r="D130" s="62" t="s">
        <v>1120</v>
      </c>
      <c r="E130" s="39" t="s">
        <v>889</v>
      </c>
      <c r="F130" s="8" t="s">
        <v>1323</v>
      </c>
    </row>
    <row r="131" spans="1:6">
      <c r="A131" s="16"/>
      <c r="B131" s="16" t="str">
        <f t="shared" si="3"/>
        <v>Schule</v>
      </c>
      <c r="C131" s="5" t="s">
        <v>3</v>
      </c>
      <c r="D131" s="62" t="s">
        <v>1129</v>
      </c>
      <c r="E131" s="39" t="s">
        <v>890</v>
      </c>
      <c r="F131" s="8" t="s">
        <v>1324</v>
      </c>
    </row>
    <row r="132" spans="1:6">
      <c r="A132" s="16"/>
      <c r="B132" s="16" t="str">
        <f t="shared" si="3"/>
        <v>Fachgeschäft</v>
      </c>
      <c r="C132" s="5" t="s">
        <v>310</v>
      </c>
      <c r="D132" s="62" t="s">
        <v>1132</v>
      </c>
      <c r="E132" s="39" t="s">
        <v>900</v>
      </c>
      <c r="F132" s="8" t="s">
        <v>1332</v>
      </c>
    </row>
    <row r="133" spans="1:6">
      <c r="A133" s="16"/>
      <c r="B133" s="16" t="str">
        <f t="shared" si="3"/>
        <v>Lebensmittelgeschäft</v>
      </c>
      <c r="C133" s="5" t="s">
        <v>311</v>
      </c>
      <c r="D133" s="62" t="s">
        <v>1133</v>
      </c>
      <c r="E133" s="39" t="s">
        <v>901</v>
      </c>
      <c r="F133" s="8" t="s">
        <v>1333</v>
      </c>
    </row>
    <row r="134" spans="1:6">
      <c r="A134" s="16"/>
      <c r="B134" s="16" t="str">
        <f t="shared" si="3"/>
        <v>Restaurant</v>
      </c>
      <c r="C134" s="5" t="s">
        <v>2</v>
      </c>
      <c r="D134" s="62" t="s">
        <v>1134</v>
      </c>
      <c r="E134" s="39" t="s">
        <v>892</v>
      </c>
      <c r="F134" s="8" t="s">
        <v>2</v>
      </c>
    </row>
    <row r="135" spans="1:6">
      <c r="A135" s="16"/>
      <c r="B135" s="16">
        <f t="shared" si="3"/>
        <v>0</v>
      </c>
      <c r="C135" s="39"/>
      <c r="D135" s="62"/>
      <c r="E135" s="39"/>
    </row>
    <row r="136" spans="1:6">
      <c r="A136" s="16"/>
      <c r="B136" s="16">
        <f t="shared" si="3"/>
        <v>0</v>
      </c>
      <c r="C136" s="39"/>
      <c r="D136" s="62"/>
      <c r="E136" s="39"/>
    </row>
    <row r="137" spans="1:6">
      <c r="A137" s="16" t="s">
        <v>320</v>
      </c>
      <c r="B137" s="16" t="str">
        <f t="shared" si="3"/>
        <v>Wenig (z.B. Loft)</v>
      </c>
      <c r="C137" s="5" t="s">
        <v>1782</v>
      </c>
      <c r="D137" s="62" t="s">
        <v>1785</v>
      </c>
      <c r="E137" s="39" t="s">
        <v>1777</v>
      </c>
      <c r="F137" s="8" t="s">
        <v>1779</v>
      </c>
    </row>
    <row r="138" spans="1:6">
      <c r="A138" s="16"/>
      <c r="B138" s="16" t="str">
        <f t="shared" si="3"/>
        <v>Normal</v>
      </c>
      <c r="C138" s="5" t="s">
        <v>1784</v>
      </c>
      <c r="D138" s="62" t="s">
        <v>1786</v>
      </c>
      <c r="E138" s="39" t="s">
        <v>1776</v>
      </c>
      <c r="F138" s="8" t="s">
        <v>1780</v>
      </c>
    </row>
    <row r="139" spans="1:6">
      <c r="A139" s="16"/>
      <c r="B139" s="16" t="str">
        <f t="shared" si="3"/>
        <v>Viel (z.B. Hotel)</v>
      </c>
      <c r="C139" s="5" t="s">
        <v>1783</v>
      </c>
      <c r="D139" s="62" t="s">
        <v>1787</v>
      </c>
      <c r="E139" s="39" t="s">
        <v>1778</v>
      </c>
      <c r="F139" s="8" t="s">
        <v>1781</v>
      </c>
    </row>
    <row r="140" spans="1:6">
      <c r="A140" s="16"/>
      <c r="B140" s="16">
        <f t="shared" si="3"/>
        <v>0</v>
      </c>
      <c r="C140" s="39"/>
      <c r="D140" s="62"/>
      <c r="E140" s="39"/>
    </row>
    <row r="141" spans="1:6">
      <c r="A141" s="16" t="s">
        <v>337</v>
      </c>
      <c r="B141" s="16" t="str">
        <f t="shared" si="3"/>
        <v>Fehler in Eingabefeld</v>
      </c>
      <c r="C141" s="39" t="s">
        <v>335</v>
      </c>
      <c r="D141" s="17" t="s">
        <v>1103</v>
      </c>
      <c r="E141" s="39" t="s">
        <v>902</v>
      </c>
      <c r="F141" s="8" t="s">
        <v>1334</v>
      </c>
    </row>
    <row r="142" spans="1:6">
      <c r="A142" s="16"/>
      <c r="B142" s="16">
        <f t="shared" si="3"/>
        <v>0</v>
      </c>
      <c r="C142" s="39"/>
      <c r="D142" s="62"/>
      <c r="E142" s="39"/>
    </row>
    <row r="143" spans="1:6">
      <c r="A143" s="16" t="s">
        <v>1806</v>
      </c>
      <c r="B143" s="16" t="str">
        <f t="shared" si="3"/>
        <v>Note</v>
      </c>
      <c r="C143" s="39" t="s">
        <v>1803</v>
      </c>
      <c r="D143" s="62" t="s">
        <v>1803</v>
      </c>
      <c r="E143" s="39" t="s">
        <v>1805</v>
      </c>
      <c r="F143" s="8" t="s">
        <v>1804</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179</v>
      </c>
      <c r="B148" s="16" t="str">
        <f t="shared" ref="B148:B181" si="4">INDEX($C148:$F148,1,MATCH(Sprachwahl,ListSprache,0))</f>
        <v>B Vorbereitung</v>
      </c>
      <c r="C148" s="5" t="s">
        <v>187</v>
      </c>
      <c r="D148" s="17" t="s">
        <v>1135</v>
      </c>
      <c r="E148" s="8" t="s">
        <v>903</v>
      </c>
      <c r="F148" s="8" t="s">
        <v>1335</v>
      </c>
    </row>
    <row r="149" spans="1:6">
      <c r="A149" s="16"/>
      <c r="B149" s="16" t="str">
        <f t="shared" si="4"/>
        <v>C1 Bodenplatte, Fundament</v>
      </c>
      <c r="C149" s="5" t="s">
        <v>188</v>
      </c>
      <c r="D149" s="17" t="s">
        <v>1136</v>
      </c>
      <c r="E149" s="8" t="s">
        <v>904</v>
      </c>
      <c r="F149" s="8" t="s">
        <v>1336</v>
      </c>
    </row>
    <row r="150" spans="1:6">
      <c r="A150" s="16"/>
      <c r="B150" s="16" t="str">
        <f t="shared" si="4"/>
        <v>C2.1 Aussenwandkonstruktion u.T</v>
      </c>
      <c r="C150" s="5" t="s">
        <v>189</v>
      </c>
      <c r="D150" s="17" t="s">
        <v>1793</v>
      </c>
      <c r="E150" s="8" t="s">
        <v>1795</v>
      </c>
      <c r="F150" s="8" t="s">
        <v>1342</v>
      </c>
    </row>
    <row r="151" spans="1:6">
      <c r="A151" s="16"/>
      <c r="B151" s="16" t="str">
        <f t="shared" si="4"/>
        <v>C2.1 Aussenwandkonstruktion ü.T</v>
      </c>
      <c r="C151" s="8" t="s">
        <v>190</v>
      </c>
      <c r="D151" s="17" t="s">
        <v>1794</v>
      </c>
      <c r="E151" s="8" t="s">
        <v>1796</v>
      </c>
      <c r="F151" s="8" t="s">
        <v>1343</v>
      </c>
    </row>
    <row r="152" spans="1:6">
      <c r="A152" s="16"/>
      <c r="B152" s="16" t="str">
        <f t="shared" si="4"/>
        <v>C2.2 Innenwandkonstruktion</v>
      </c>
      <c r="C152" s="5" t="s">
        <v>191</v>
      </c>
      <c r="D152" s="17" t="s">
        <v>1137</v>
      </c>
      <c r="E152" s="8" t="s">
        <v>905</v>
      </c>
      <c r="F152" s="8" t="s">
        <v>1337</v>
      </c>
    </row>
    <row r="153" spans="1:6">
      <c r="A153" s="16"/>
      <c r="B153" s="16" t="str">
        <f t="shared" si="4"/>
        <v>C4.1 Decke</v>
      </c>
      <c r="C153" s="5" t="s">
        <v>192</v>
      </c>
      <c r="D153" s="17" t="s">
        <v>1138</v>
      </c>
      <c r="E153" s="8" t="s">
        <v>906</v>
      </c>
      <c r="F153" s="8" t="s">
        <v>1338</v>
      </c>
    </row>
    <row r="154" spans="1:6">
      <c r="A154" s="16"/>
      <c r="B154" s="16" t="str">
        <f t="shared" si="4"/>
        <v>C4.3 Balkon</v>
      </c>
      <c r="C154" s="5" t="s">
        <v>193</v>
      </c>
      <c r="D154" s="17" t="s">
        <v>1139</v>
      </c>
      <c r="E154" s="8" t="s">
        <v>907</v>
      </c>
      <c r="F154" s="8" t="s">
        <v>1339</v>
      </c>
    </row>
    <row r="155" spans="1:6">
      <c r="A155" s="16"/>
      <c r="B155" s="16" t="str">
        <f t="shared" si="4"/>
        <v>C4.4 Dachkonstruktion</v>
      </c>
      <c r="C155" s="5" t="s">
        <v>194</v>
      </c>
      <c r="D155" s="17" t="s">
        <v>1791</v>
      </c>
      <c r="E155" s="8" t="s">
        <v>908</v>
      </c>
      <c r="F155" s="8" t="s">
        <v>1340</v>
      </c>
    </row>
    <row r="156" spans="1:6">
      <c r="A156" s="16"/>
      <c r="B156" s="16" t="str">
        <f t="shared" si="4"/>
        <v>D Technik Gebäude</v>
      </c>
      <c r="C156" s="5" t="s">
        <v>195</v>
      </c>
      <c r="D156" s="17" t="s">
        <v>1140</v>
      </c>
      <c r="E156" s="8" t="s">
        <v>909</v>
      </c>
      <c r="F156" s="8" t="s">
        <v>1344</v>
      </c>
    </row>
    <row r="157" spans="1:6">
      <c r="A157" s="16"/>
      <c r="B157" s="16" t="str">
        <f t="shared" si="4"/>
        <v>E1 Äussere Wandbekleidung u.T.</v>
      </c>
      <c r="C157" s="8" t="s">
        <v>196</v>
      </c>
      <c r="D157" s="17" t="s">
        <v>1797</v>
      </c>
      <c r="E157" s="8" t="s">
        <v>1798</v>
      </c>
      <c r="F157" s="8" t="s">
        <v>1345</v>
      </c>
    </row>
    <row r="158" spans="1:6">
      <c r="A158" s="16"/>
      <c r="B158" s="16" t="str">
        <f t="shared" si="4"/>
        <v>E2 Äussere Wandbekleidung ü.T.</v>
      </c>
      <c r="C158" s="5" t="s">
        <v>197</v>
      </c>
      <c r="D158" s="17" t="s">
        <v>1141</v>
      </c>
      <c r="E158" s="8" t="s">
        <v>1799</v>
      </c>
      <c r="F158" s="8" t="s">
        <v>1346</v>
      </c>
    </row>
    <row r="159" spans="1:6">
      <c r="A159" s="16"/>
      <c r="B159" s="16" t="str">
        <f t="shared" si="4"/>
        <v>E3 Einbauten zu Aussenwand</v>
      </c>
      <c r="C159" s="5" t="s">
        <v>198</v>
      </c>
      <c r="D159" s="17" t="s">
        <v>1792</v>
      </c>
      <c r="E159" s="8" t="s">
        <v>910</v>
      </c>
      <c r="F159" s="8" t="s">
        <v>1341</v>
      </c>
    </row>
    <row r="160" spans="1:6">
      <c r="A160" s="16"/>
      <c r="B160" s="16" t="str">
        <f t="shared" si="4"/>
        <v>F Bedachung Gebäude</v>
      </c>
      <c r="C160" s="5" t="s">
        <v>199</v>
      </c>
      <c r="D160" s="17" t="s">
        <v>1142</v>
      </c>
      <c r="E160" s="8" t="s">
        <v>911</v>
      </c>
      <c r="F160" s="8" t="s">
        <v>1347</v>
      </c>
    </row>
    <row r="161" spans="1:6">
      <c r="A161" s="16"/>
      <c r="B161" s="16" t="str">
        <f t="shared" si="4"/>
        <v>G Ausbau Gebäude</v>
      </c>
      <c r="C161" s="5" t="s">
        <v>200</v>
      </c>
      <c r="D161" s="17" t="s">
        <v>1143</v>
      </c>
      <c r="E161" s="8" t="s">
        <v>912</v>
      </c>
      <c r="F161" s="8" t="s">
        <v>1348</v>
      </c>
    </row>
    <row r="162" spans="1:6">
      <c r="A162" s="16"/>
      <c r="B162" s="16"/>
      <c r="C162" s="5"/>
      <c r="D162" s="17"/>
    </row>
    <row r="163" spans="1:6">
      <c r="A163" s="16" t="s">
        <v>2366</v>
      </c>
      <c r="B163" s="16" t="str">
        <f t="shared" si="4"/>
        <v>Lüftung</v>
      </c>
      <c r="C163" s="5" t="s">
        <v>343</v>
      </c>
      <c r="D163" s="17" t="s">
        <v>2392</v>
      </c>
      <c r="E163" s="8" t="s">
        <v>2393</v>
      </c>
      <c r="F163" s="8" t="s">
        <v>2367</v>
      </c>
    </row>
    <row r="164" spans="1:6">
      <c r="A164" s="16"/>
      <c r="B164" s="16" t="str">
        <f t="shared" si="4"/>
        <v>Elektro</v>
      </c>
      <c r="C164" s="5" t="s">
        <v>2361</v>
      </c>
      <c r="D164" s="75" t="s">
        <v>2382</v>
      </c>
      <c r="E164" s="75" t="s">
        <v>2383</v>
      </c>
      <c r="F164" s="75" t="s">
        <v>1371</v>
      </c>
    </row>
    <row r="165" spans="1:6">
      <c r="A165" s="16"/>
      <c r="B165" s="16" t="str">
        <f t="shared" si="4"/>
        <v>Erdsonden</v>
      </c>
      <c r="C165" s="5" t="s">
        <v>2375</v>
      </c>
      <c r="D165" s="75" t="s">
        <v>2373</v>
      </c>
      <c r="E165" s="75" t="s">
        <v>2374</v>
      </c>
      <c r="F165" s="75" t="s">
        <v>2376</v>
      </c>
    </row>
    <row r="166" spans="1:6">
      <c r="A166" s="16"/>
      <c r="B166" s="16" t="str">
        <f t="shared" si="4"/>
        <v>Therm. Kollektoren</v>
      </c>
      <c r="C166" s="5" t="s">
        <v>2362</v>
      </c>
      <c r="D166" s="75" t="s">
        <v>2377</v>
      </c>
      <c r="E166" s="75" t="s">
        <v>2378</v>
      </c>
      <c r="F166" s="75" t="s">
        <v>2379</v>
      </c>
    </row>
    <row r="167" spans="1:6">
      <c r="A167" s="16"/>
      <c r="B167" s="16" t="str">
        <f t="shared" si="4"/>
        <v>Sanitär</v>
      </c>
      <c r="C167" s="5" t="s">
        <v>2363</v>
      </c>
      <c r="D167" s="75" t="s">
        <v>2380</v>
      </c>
      <c r="E167" s="75" t="s">
        <v>2381</v>
      </c>
      <c r="F167" s="75" t="s">
        <v>1390</v>
      </c>
    </row>
    <row r="168" spans="1:6">
      <c r="A168" s="16"/>
      <c r="B168" s="16" t="str">
        <f t="shared" si="4"/>
        <v>Photovoltaik</v>
      </c>
      <c r="C168" s="5" t="s">
        <v>2364</v>
      </c>
      <c r="D168" s="75" t="s">
        <v>2389</v>
      </c>
      <c r="E168" s="75" t="s">
        <v>2390</v>
      </c>
      <c r="F168" s="75" t="s">
        <v>2391</v>
      </c>
    </row>
    <row r="169" spans="1:6">
      <c r="A169" s="16"/>
      <c r="B169" s="16" t="str">
        <f t="shared" si="4"/>
        <v>Wärmeabgabe</v>
      </c>
      <c r="C169" s="5" t="s">
        <v>345</v>
      </c>
      <c r="D169" s="75" t="s">
        <v>2396</v>
      </c>
      <c r="E169" s="75" t="s">
        <v>2384</v>
      </c>
      <c r="F169" s="75" t="s">
        <v>2385</v>
      </c>
    </row>
    <row r="170" spans="1:6">
      <c r="A170" s="16"/>
      <c r="B170" s="16" t="str">
        <f t="shared" si="4"/>
        <v>Wärmeerzeugung</v>
      </c>
      <c r="C170" s="5" t="s">
        <v>248</v>
      </c>
      <c r="D170" s="75" t="s">
        <v>2394</v>
      </c>
      <c r="E170" s="75" t="s">
        <v>2386</v>
      </c>
      <c r="F170" s="75" t="s">
        <v>1386</v>
      </c>
    </row>
    <row r="171" spans="1:6">
      <c r="A171" s="16"/>
      <c r="B171" s="16" t="str">
        <f t="shared" si="4"/>
        <v>Wärmeverteilung</v>
      </c>
      <c r="C171" s="5" t="s">
        <v>344</v>
      </c>
      <c r="D171" s="75" t="s">
        <v>2395</v>
      </c>
      <c r="E171" s="75" t="s">
        <v>2387</v>
      </c>
      <c r="F171" s="75" t="s">
        <v>2388</v>
      </c>
    </row>
    <row r="172" spans="1:6">
      <c r="A172" s="16"/>
      <c r="B172" s="16"/>
      <c r="C172" s="5"/>
      <c r="D172" s="17"/>
    </row>
    <row r="173" spans="1:6">
      <c r="A173" s="16" t="s">
        <v>2369</v>
      </c>
      <c r="B173" s="16" t="str">
        <f>INDEX($C173:$F173,1,MATCH(Sprachwahl,ListSprache,0))</f>
        <v>Bauteile sind vollständig erfasst.</v>
      </c>
      <c r="C173" s="5" t="s">
        <v>2371</v>
      </c>
      <c r="D173" s="8" t="s">
        <v>2401</v>
      </c>
      <c r="E173" s="8" t="s">
        <v>2397</v>
      </c>
      <c r="F173" s="8" t="s">
        <v>2404</v>
      </c>
    </row>
    <row r="174" spans="1:6">
      <c r="A174" s="16"/>
      <c r="B174" s="16" t="str">
        <f t="shared" si="4"/>
        <v xml:space="preserve">Es fehlen die Elementgruppen </v>
      </c>
      <c r="C174" s="5" t="s">
        <v>2372</v>
      </c>
      <c r="D174" s="8" t="s">
        <v>2403</v>
      </c>
      <c r="E174" s="8" t="s">
        <v>2398</v>
      </c>
      <c r="F174" s="8" t="s">
        <v>2405</v>
      </c>
    </row>
    <row r="175" spans="1:6">
      <c r="A175" s="16"/>
      <c r="B175" s="16" t="str">
        <f t="shared" si="4"/>
        <v>Technik ist vollständig erfasst.</v>
      </c>
      <c r="C175" s="5" t="s">
        <v>2368</v>
      </c>
      <c r="D175" s="8" t="s">
        <v>2402</v>
      </c>
      <c r="E175" s="8" t="s">
        <v>2399</v>
      </c>
      <c r="F175" s="8" t="s">
        <v>2406</v>
      </c>
    </row>
    <row r="176" spans="1:6">
      <c r="A176" s="16"/>
      <c r="B176" s="16" t="str">
        <f t="shared" si="4"/>
        <v xml:space="preserve">Es fehlen die Technik-Elemente </v>
      </c>
      <c r="C176" s="5" t="s">
        <v>2370</v>
      </c>
      <c r="D176" s="8" t="s">
        <v>2409</v>
      </c>
      <c r="E176" s="8" t="s">
        <v>2400</v>
      </c>
      <c r="F176" s="8" t="s">
        <v>2407</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ht="13">
      <c r="A183" s="10" t="s">
        <v>2327</v>
      </c>
      <c r="B183" s="10"/>
      <c r="C183" s="10"/>
      <c r="D183" s="61"/>
      <c r="E183" s="10"/>
      <c r="F183" s="10"/>
      <c r="G183" s="10"/>
    </row>
    <row r="184" spans="1:7" ht="13">
      <c r="A184" s="10" t="s">
        <v>37</v>
      </c>
      <c r="B184" s="10" t="s">
        <v>38</v>
      </c>
      <c r="C184" s="10" t="str">
        <f>C$4</f>
        <v>Deutsch</v>
      </c>
      <c r="D184" s="61" t="str">
        <f>D$4</f>
        <v>Francais</v>
      </c>
      <c r="E184" s="10" t="str">
        <f>E$4</f>
        <v>Italiano</v>
      </c>
      <c r="F184" s="10" t="str">
        <f>F$4</f>
        <v>English</v>
      </c>
      <c r="G184" s="10" t="s">
        <v>2328</v>
      </c>
    </row>
    <row r="185" spans="1:7">
      <c r="A185" s="16" t="s">
        <v>222</v>
      </c>
      <c r="B185" s="16" t="str">
        <f t="shared" ref="B185:B216" si="5">INDEX($C185:$F185,1,MATCH(Sprachwahl,ListSprache,0))</f>
        <v>Baugrubenaushub in Deponie (BTK)</v>
      </c>
      <c r="C185" s="75" t="s">
        <v>650</v>
      </c>
      <c r="D185" s="75" t="s">
        <v>1144</v>
      </c>
      <c r="E185" s="75" t="s">
        <v>913</v>
      </c>
      <c r="F185" s="75" t="s">
        <v>1396</v>
      </c>
      <c r="G185" s="75" t="s">
        <v>2061</v>
      </c>
    </row>
    <row r="186" spans="1:7">
      <c r="A186" s="16"/>
      <c r="B186" s="16" t="str">
        <f t="shared" si="5"/>
        <v>Baugrubenaushub, Lager Baustelle (BTK)</v>
      </c>
      <c r="C186" s="75" t="s">
        <v>649</v>
      </c>
      <c r="D186" s="75" t="s">
        <v>1145</v>
      </c>
      <c r="E186" s="75" t="s">
        <v>914</v>
      </c>
      <c r="F186" s="75" t="s">
        <v>1397</v>
      </c>
      <c r="G186" s="75" t="s">
        <v>2062</v>
      </c>
    </row>
    <row r="187" spans="1:7">
      <c r="A187" s="16"/>
      <c r="B187" s="16" t="str">
        <f t="shared" si="5"/>
        <v>Fundamentplatte 25cm Beton (BTK)</v>
      </c>
      <c r="C187" s="75" t="s">
        <v>802</v>
      </c>
      <c r="D187" s="75" t="s">
        <v>1146</v>
      </c>
      <c r="E187" s="75" t="s">
        <v>915</v>
      </c>
      <c r="F187" s="75" t="s">
        <v>1398</v>
      </c>
      <c r="G187" s="75" t="s">
        <v>2068</v>
      </c>
    </row>
    <row r="188" spans="1:7">
      <c r="A188" s="16"/>
      <c r="B188" s="16" t="str">
        <f t="shared" si="5"/>
        <v>Fundamentplatte 25cm Beton mit innerer Wärmedämmung XPS und Unterlagsboden (BTK)</v>
      </c>
      <c r="C188" s="75" t="s">
        <v>613</v>
      </c>
      <c r="D188" s="75" t="s">
        <v>1147</v>
      </c>
      <c r="E188" s="75" t="s">
        <v>916</v>
      </c>
      <c r="F188" s="75" t="s">
        <v>1399</v>
      </c>
      <c r="G188" s="75" t="s">
        <v>2069</v>
      </c>
    </row>
    <row r="189" spans="1:7">
      <c r="A189" s="16"/>
      <c r="B189" s="16" t="str">
        <f t="shared" si="5"/>
        <v>Wärmedämmung, Fundamentplatte 25cm Beton, Zementüberzug (BTK)</v>
      </c>
      <c r="C189" s="75" t="s">
        <v>614</v>
      </c>
      <c r="D189" s="75" t="s">
        <v>1148</v>
      </c>
      <c r="E189" s="75" t="s">
        <v>917</v>
      </c>
      <c r="F189" s="75" t="s">
        <v>1400</v>
      </c>
      <c r="G189" s="75" t="s">
        <v>2070</v>
      </c>
    </row>
    <row r="190" spans="1:7">
      <c r="A190" s="16"/>
      <c r="B190" s="16" t="str">
        <f t="shared" si="5"/>
        <v>Betonwand 25cm ungedämmt, Sickerplatten (BTK)</v>
      </c>
      <c r="C190" s="75" t="s">
        <v>654</v>
      </c>
      <c r="D190" s="75" t="s">
        <v>1149</v>
      </c>
      <c r="E190" s="75" t="s">
        <v>918</v>
      </c>
      <c r="F190" s="75" t="s">
        <v>1401</v>
      </c>
      <c r="G190" s="75" t="s">
        <v>2073</v>
      </c>
    </row>
    <row r="191" spans="1:7">
      <c r="A191" s="16"/>
      <c r="B191" s="16" t="str">
        <f t="shared" si="5"/>
        <v>Betonwand 25cm, Aussendämmung, Sickerplatten (BTK)</v>
      </c>
      <c r="C191" s="75" t="s">
        <v>629</v>
      </c>
      <c r="D191" s="75" t="s">
        <v>1150</v>
      </c>
      <c r="E191" s="75" t="s">
        <v>919</v>
      </c>
      <c r="F191" s="75" t="s">
        <v>1402</v>
      </c>
      <c r="G191" s="75" t="s">
        <v>2074</v>
      </c>
    </row>
    <row r="192" spans="1:7">
      <c r="A192" s="16"/>
      <c r="B192" s="16" t="str">
        <f t="shared" si="5"/>
        <v>Betonwand 25cm, Innendämmung verkleidet, Sickerplatten  (BTK)</v>
      </c>
      <c r="C192" s="75" t="s">
        <v>630</v>
      </c>
      <c r="D192" s="75" t="s">
        <v>1151</v>
      </c>
      <c r="E192" s="75" t="s">
        <v>920</v>
      </c>
      <c r="F192" s="75" t="s">
        <v>1403</v>
      </c>
      <c r="G192" s="75" t="s">
        <v>2075</v>
      </c>
    </row>
    <row r="193" spans="1:7">
      <c r="A193" s="16"/>
      <c r="B193" s="16" t="str">
        <f t="shared" si="5"/>
        <v>Aussenwand Holz massiv, innen Vorsatzschale 1-fach beplankt (Lignum)</v>
      </c>
      <c r="C193" s="75" t="s">
        <v>492</v>
      </c>
      <c r="D193" s="75" t="s">
        <v>1152</v>
      </c>
      <c r="E193" s="75" t="s">
        <v>921</v>
      </c>
      <c r="F193" s="75" t="s">
        <v>1404</v>
      </c>
      <c r="G193" s="75" t="s">
        <v>2076</v>
      </c>
    </row>
    <row r="194" spans="1:7">
      <c r="A194" s="16"/>
      <c r="B194" s="16" t="str">
        <f t="shared" si="5"/>
        <v>Aussenwand Holzständer, innen Vorsatzschale 1-fach beplankt (Lignum)</v>
      </c>
      <c r="C194" s="75" t="s">
        <v>491</v>
      </c>
      <c r="D194" s="75" t="s">
        <v>1153</v>
      </c>
      <c r="E194" s="75" t="s">
        <v>922</v>
      </c>
      <c r="F194" s="75" t="s">
        <v>1405</v>
      </c>
      <c r="G194" s="75" t="s">
        <v>2077</v>
      </c>
    </row>
    <row r="195" spans="1:7">
      <c r="A195" s="16"/>
      <c r="B195" s="16" t="str">
        <f t="shared" si="5"/>
        <v>Backsteinmauerwerk, Aussenwärmedämmung hinterlüftet (BTK)</v>
      </c>
      <c r="C195" s="75" t="s">
        <v>635</v>
      </c>
      <c r="D195" s="75" t="s">
        <v>1154</v>
      </c>
      <c r="E195" s="75" t="s">
        <v>923</v>
      </c>
      <c r="F195" s="75" t="s">
        <v>1406</v>
      </c>
      <c r="G195" s="75" t="s">
        <v>2093</v>
      </c>
    </row>
    <row r="196" spans="1:7">
      <c r="A196" s="16"/>
      <c r="B196" s="16" t="str">
        <f t="shared" si="5"/>
        <v>Betonwand 20cm, Aussenwärmedämmung EPS verputzt (BTK)</v>
      </c>
      <c r="C196" s="75" t="s">
        <v>634</v>
      </c>
      <c r="D196" s="75" t="s">
        <v>1155</v>
      </c>
      <c r="E196" s="75" t="s">
        <v>924</v>
      </c>
      <c r="F196" s="75" t="s">
        <v>1407</v>
      </c>
      <c r="G196" s="75" t="s">
        <v>2094</v>
      </c>
    </row>
    <row r="197" spans="1:7">
      <c r="A197" s="16"/>
      <c r="B197" s="16" t="str">
        <f t="shared" si="5"/>
        <v>Einschalenbacksteinmauerwerk, Aussenwärmedämmung EPS verputzt (BTK)</v>
      </c>
      <c r="C197" s="75" t="s">
        <v>633</v>
      </c>
      <c r="D197" s="75" t="s">
        <v>1156</v>
      </c>
      <c r="E197" s="75" t="s">
        <v>925</v>
      </c>
      <c r="F197" s="75" t="s">
        <v>1408</v>
      </c>
      <c r="G197" s="75" t="s">
        <v>2095</v>
      </c>
    </row>
    <row r="198" spans="1:7">
      <c r="A198" s="16"/>
      <c r="B198" s="16" t="str">
        <f t="shared" si="5"/>
        <v>Holzelementwand ausgedämmt (BTK)</v>
      </c>
      <c r="C198" s="75" t="s">
        <v>637</v>
      </c>
      <c r="D198" s="75" t="s">
        <v>1157</v>
      </c>
      <c r="E198" s="75" t="s">
        <v>926</v>
      </c>
      <c r="F198" s="75" t="s">
        <v>1409</v>
      </c>
      <c r="G198" s="75" t="s">
        <v>2096</v>
      </c>
    </row>
    <row r="199" spans="1:7">
      <c r="A199" s="16"/>
      <c r="B199" s="16" t="str">
        <f t="shared" si="5"/>
        <v>Stahlblech-Sandwichpaneele (BTK)</v>
      </c>
      <c r="C199" s="75" t="s">
        <v>632</v>
      </c>
      <c r="D199" s="75" t="s">
        <v>1158</v>
      </c>
      <c r="E199" s="75" t="s">
        <v>927</v>
      </c>
      <c r="F199" s="75" t="s">
        <v>1410</v>
      </c>
      <c r="G199" s="75" t="s">
        <v>2097</v>
      </c>
    </row>
    <row r="200" spans="1:7">
      <c r="A200" s="16"/>
      <c r="B200" s="16" t="str">
        <f t="shared" si="5"/>
        <v>Stahlkassetten mit Zusatzdämmung, Stahlblechverkleidung (BTK)</v>
      </c>
      <c r="C200" s="75" t="s">
        <v>631</v>
      </c>
      <c r="D200" s="75" t="s">
        <v>1159</v>
      </c>
      <c r="E200" s="75" t="s">
        <v>1913</v>
      </c>
      <c r="F200" s="75" t="s">
        <v>1411</v>
      </c>
      <c r="G200" s="75" t="s">
        <v>2098</v>
      </c>
    </row>
    <row r="201" spans="1:7">
      <c r="A201" s="16"/>
      <c r="B201" s="16" t="str">
        <f t="shared" si="5"/>
        <v>Zweischalenmauerwerk verputzt, Kerndämmung (BTK)</v>
      </c>
      <c r="C201" s="75" t="s">
        <v>636</v>
      </c>
      <c r="D201" s="75" t="s">
        <v>1160</v>
      </c>
      <c r="E201" s="75" t="s">
        <v>928</v>
      </c>
      <c r="F201" s="75" t="s">
        <v>1412</v>
      </c>
      <c r="G201" s="75" t="s">
        <v>2099</v>
      </c>
    </row>
    <row r="202" spans="1:7">
      <c r="A202" s="16"/>
      <c r="B202" s="16" t="str">
        <f t="shared" si="5"/>
        <v>Backstein-Innenwand verputzt (BTK)</v>
      </c>
      <c r="C202" s="75" t="s">
        <v>643</v>
      </c>
      <c r="D202" s="75" t="s">
        <v>1161</v>
      </c>
      <c r="E202" s="75" t="s">
        <v>929</v>
      </c>
      <c r="F202" s="75" t="s">
        <v>1413</v>
      </c>
      <c r="G202" s="75" t="s">
        <v>2100</v>
      </c>
    </row>
    <row r="203" spans="1:7">
      <c r="A203" s="16"/>
      <c r="B203" s="16" t="str">
        <f t="shared" si="5"/>
        <v>Betonwand 20cm (BTK)</v>
      </c>
      <c r="C203" s="75" t="s">
        <v>645</v>
      </c>
      <c r="D203" s="75" t="s">
        <v>1162</v>
      </c>
      <c r="E203" s="75" t="s">
        <v>930</v>
      </c>
      <c r="F203" s="75" t="s">
        <v>1414</v>
      </c>
      <c r="G203" s="75" t="s">
        <v>2101</v>
      </c>
    </row>
    <row r="204" spans="1:7">
      <c r="A204" s="16"/>
      <c r="B204" s="16" t="str">
        <f t="shared" si="5"/>
        <v>Leichtbauwand Gipskarton, 2-fach beplankt (BTK)</v>
      </c>
      <c r="C204" s="75" t="s">
        <v>646</v>
      </c>
      <c r="D204" s="75" t="s">
        <v>1163</v>
      </c>
      <c r="E204" s="75" t="s">
        <v>931</v>
      </c>
      <c r="F204" s="75" t="s">
        <v>1415</v>
      </c>
      <c r="G204" s="75" t="s">
        <v>2102</v>
      </c>
    </row>
    <row r="205" spans="1:7">
      <c r="A205" s="16"/>
      <c r="B205" s="16" t="str">
        <f t="shared" si="5"/>
        <v>Trennwand 1-schalig, Ständer, Gipskarton einfach beplankt (Lignum)</v>
      </c>
      <c r="C205" s="75" t="s">
        <v>489</v>
      </c>
      <c r="D205" s="75" t="s">
        <v>1164</v>
      </c>
      <c r="E205" s="75" t="s">
        <v>932</v>
      </c>
      <c r="F205" s="75" t="s">
        <v>1416</v>
      </c>
      <c r="G205" s="75" t="s">
        <v>2105</v>
      </c>
    </row>
    <row r="206" spans="1:7">
      <c r="A206" s="16"/>
      <c r="B206" s="16" t="str">
        <f t="shared" si="5"/>
        <v>Trennwand 2-Schalig, Ständer, Gipskarton einfach beplankt (Lignum)</v>
      </c>
      <c r="C206" s="75" t="s">
        <v>488</v>
      </c>
      <c r="D206" s="75" t="s">
        <v>1165</v>
      </c>
      <c r="E206" s="75" t="s">
        <v>933</v>
      </c>
      <c r="F206" s="75" t="s">
        <v>1417</v>
      </c>
      <c r="G206" s="75" t="s">
        <v>2106</v>
      </c>
    </row>
    <row r="207" spans="1:7">
      <c r="A207" s="16"/>
      <c r="B207" s="16" t="str">
        <f t="shared" si="5"/>
        <v>Trennwand Holz (BTK)</v>
      </c>
      <c r="C207" s="75" t="s">
        <v>648</v>
      </c>
      <c r="D207" s="75" t="s">
        <v>1166</v>
      </c>
      <c r="E207" s="75" t="s">
        <v>934</v>
      </c>
      <c r="F207" s="75" t="s">
        <v>1418</v>
      </c>
      <c r="G207" s="75" t="s">
        <v>2107</v>
      </c>
    </row>
    <row r="208" spans="1:7">
      <c r="A208" s="16"/>
      <c r="B208" s="16" t="str">
        <f t="shared" si="5"/>
        <v>Trennwand Holz massiv, mit Vorsatzschale Gipskarton doppelt beplankt (Lignum)</v>
      </c>
      <c r="C208" s="75" t="s">
        <v>490</v>
      </c>
      <c r="D208" s="75" t="s">
        <v>1167</v>
      </c>
      <c r="E208" s="75" t="s">
        <v>935</v>
      </c>
      <c r="F208" s="75" t="s">
        <v>1419</v>
      </c>
      <c r="G208" s="75" t="s">
        <v>2108</v>
      </c>
    </row>
    <row r="209" spans="1:7">
      <c r="A209" s="16"/>
      <c r="B209" s="16" t="str">
        <f t="shared" si="5"/>
        <v>Trennwand Vollgips (BTK)</v>
      </c>
      <c r="C209" s="75" t="s">
        <v>647</v>
      </c>
      <c r="D209" s="75" t="s">
        <v>1168</v>
      </c>
      <c r="E209" s="75" t="s">
        <v>936</v>
      </c>
      <c r="F209" s="75" t="s">
        <v>1420</v>
      </c>
      <c r="G209" s="75" t="s">
        <v>2109</v>
      </c>
    </row>
    <row r="210" spans="1:7">
      <c r="A210" s="16"/>
      <c r="B210" s="16" t="str">
        <f t="shared" si="5"/>
        <v>Zweischalige Backsteinwand, verputzt (BTK)</v>
      </c>
      <c r="C210" s="75" t="s">
        <v>644</v>
      </c>
      <c r="D210" s="75" t="s">
        <v>1169</v>
      </c>
      <c r="E210" s="75" t="s">
        <v>937</v>
      </c>
      <c r="F210" s="75" t="s">
        <v>1421</v>
      </c>
      <c r="G210" s="75" t="s">
        <v>2110</v>
      </c>
    </row>
    <row r="211" spans="1:7">
      <c r="A211" s="16"/>
      <c r="B211" s="16" t="str">
        <f t="shared" si="5"/>
        <v>Balkendecke, Nassestrich mit heruntergehängter Decke (Lignum)</v>
      </c>
      <c r="C211" s="75" t="s">
        <v>479</v>
      </c>
      <c r="D211" s="75" t="s">
        <v>1170</v>
      </c>
      <c r="E211" s="75" t="s">
        <v>938</v>
      </c>
      <c r="F211" s="75" t="s">
        <v>1422</v>
      </c>
      <c r="G211" s="75" t="s">
        <v>2111</v>
      </c>
    </row>
    <row r="212" spans="1:7">
      <c r="A212" s="16"/>
      <c r="B212" s="16" t="str">
        <f t="shared" si="5"/>
        <v>Balkendecke, sichtbare Balken, einfache Decke mit Nassestrich (Lignum)</v>
      </c>
      <c r="C212" s="75" t="s">
        <v>478</v>
      </c>
      <c r="D212" s="75" t="s">
        <v>1171</v>
      </c>
      <c r="E212" s="75" t="s">
        <v>939</v>
      </c>
      <c r="F212" s="75" t="s">
        <v>1423</v>
      </c>
      <c r="G212" s="75" t="s">
        <v>2112</v>
      </c>
    </row>
    <row r="213" spans="1:7">
      <c r="A213" s="16"/>
      <c r="B213" s="16" t="str">
        <f t="shared" si="5"/>
        <v>Balkendecke, sichtbare Balken, einfache Decke mit Trockenestrich (Lignum)</v>
      </c>
      <c r="C213" s="75" t="s">
        <v>481</v>
      </c>
      <c r="D213" s="75" t="s">
        <v>1172</v>
      </c>
      <c r="E213" s="75" t="s">
        <v>940</v>
      </c>
      <c r="F213" s="75" t="s">
        <v>1424</v>
      </c>
      <c r="G213" s="75" t="s">
        <v>2113</v>
      </c>
    </row>
    <row r="214" spans="1:7">
      <c r="A214" s="16"/>
      <c r="B214" s="16" t="str">
        <f t="shared" si="5"/>
        <v>Balkendecke, Trockenestrich mit heruntergehängter Decke (Lignum)</v>
      </c>
      <c r="C214" s="75" t="s">
        <v>480</v>
      </c>
      <c r="D214" s="75" t="s">
        <v>1173</v>
      </c>
      <c r="E214" s="75" t="s">
        <v>941</v>
      </c>
      <c r="F214" s="75" t="s">
        <v>1425</v>
      </c>
      <c r="G214" s="75" t="s">
        <v>2114</v>
      </c>
    </row>
    <row r="215" spans="1:7">
      <c r="A215" s="16"/>
      <c r="B215" s="16" t="str">
        <f t="shared" si="5"/>
        <v>Betondecke 22 cm mit innerer Wärmedämmung EPS, Trittschalldämmung, Unterlagsboden (BTK)</v>
      </c>
      <c r="C215" s="75" t="s">
        <v>617</v>
      </c>
      <c r="D215" s="75" t="s">
        <v>1174</v>
      </c>
      <c r="E215" s="75" t="s">
        <v>942</v>
      </c>
      <c r="F215" s="75" t="s">
        <v>1426</v>
      </c>
      <c r="G215" s="75" t="s">
        <v>2115</v>
      </c>
    </row>
    <row r="216" spans="1:7">
      <c r="A216" s="16"/>
      <c r="B216" s="16" t="str">
        <f t="shared" si="5"/>
        <v>Betondecke 22cm mit innerer Wärmedämmung PUR, Unterlagsboden (BTK)</v>
      </c>
      <c r="C216" s="75" t="s">
        <v>616</v>
      </c>
      <c r="D216" s="75" t="s">
        <v>1175</v>
      </c>
      <c r="E216" s="75" t="s">
        <v>943</v>
      </c>
      <c r="F216" s="75" t="s">
        <v>1427</v>
      </c>
      <c r="G216" s="75" t="s">
        <v>2116</v>
      </c>
    </row>
    <row r="217" spans="1:7">
      <c r="A217" s="16"/>
      <c r="B217" s="16" t="str">
        <f t="shared" ref="B217:B248" si="6">INDEX($C217:$F217,1,MATCH(Sprachwahl,ListSprache,0))</f>
        <v>Betondecke 22cm mit Trittschalldämmung und Unterlagsboden (BTK)</v>
      </c>
      <c r="C217" s="75" t="s">
        <v>618</v>
      </c>
      <c r="D217" s="75" t="s">
        <v>1176</v>
      </c>
      <c r="E217" s="75" t="s">
        <v>944</v>
      </c>
      <c r="F217" s="75" t="s">
        <v>1428</v>
      </c>
      <c r="G217" s="75" t="s">
        <v>2117</v>
      </c>
    </row>
    <row r="218" spans="1:7">
      <c r="A218" s="16"/>
      <c r="B218" s="16" t="str">
        <f t="shared" si="6"/>
        <v>Betondecke 22cm mit verputzter Aussenwärmedämmung (BTK)</v>
      </c>
      <c r="C218" s="75" t="s">
        <v>615</v>
      </c>
      <c r="D218" s="75" t="s">
        <v>1177</v>
      </c>
      <c r="E218" s="75" t="s">
        <v>945</v>
      </c>
      <c r="F218" s="75" t="s">
        <v>1429</v>
      </c>
      <c r="G218" s="75" t="s">
        <v>2118</v>
      </c>
    </row>
    <row r="219" spans="1:7">
      <c r="A219" s="16"/>
      <c r="B219" s="16" t="str">
        <f t="shared" si="6"/>
        <v>Brettschichtholz-Massivdecke 16cm, Trittschalldämmung, Unterlagsboden (BTK)</v>
      </c>
      <c r="C219" s="75" t="s">
        <v>620</v>
      </c>
      <c r="D219" s="75" t="s">
        <v>1178</v>
      </c>
      <c r="E219" s="75" t="s">
        <v>946</v>
      </c>
      <c r="F219" s="75" t="s">
        <v>1430</v>
      </c>
      <c r="G219" s="75" t="s">
        <v>2120</v>
      </c>
    </row>
    <row r="220" spans="1:7">
      <c r="A220" s="16"/>
      <c r="B220" s="16" t="str">
        <f t="shared" si="6"/>
        <v>Hohlkastendecke, Nassestrich mit heruntergeh. Decke (Lignum)</v>
      </c>
      <c r="C220" s="75" t="s">
        <v>483</v>
      </c>
      <c r="D220" s="75" t="s">
        <v>1179</v>
      </c>
      <c r="E220" s="75" t="s">
        <v>947</v>
      </c>
      <c r="F220" s="75" t="s">
        <v>1431</v>
      </c>
      <c r="G220" s="75" t="s">
        <v>2121</v>
      </c>
    </row>
    <row r="221" spans="1:7">
      <c r="A221" s="16"/>
      <c r="B221" s="16" t="str">
        <f t="shared" si="6"/>
        <v>Hohlkastendecke, Nassestrich, ohne heruntergeh. Decke (Lignum)</v>
      </c>
      <c r="C221" s="75" t="s">
        <v>482</v>
      </c>
      <c r="D221" s="75" t="s">
        <v>1180</v>
      </c>
      <c r="E221" s="75" t="s">
        <v>948</v>
      </c>
      <c r="F221" s="75" t="s">
        <v>1432</v>
      </c>
      <c r="G221" s="75" t="s">
        <v>2122</v>
      </c>
    </row>
    <row r="222" spans="1:7">
      <c r="A222" s="16"/>
      <c r="B222" s="16" t="str">
        <f t="shared" si="6"/>
        <v>Holzbalkendecke mit Zusatzdämmung 8cm Steinwolle, Verkleidung aussen, Spanplatte innen (BTK)</v>
      </c>
      <c r="C222" s="75" t="s">
        <v>621</v>
      </c>
      <c r="D222" s="75" t="s">
        <v>1181</v>
      </c>
      <c r="E222" s="75" t="s">
        <v>949</v>
      </c>
      <c r="F222" s="75" t="s">
        <v>1433</v>
      </c>
      <c r="G222" s="75" t="s">
        <v>2123</v>
      </c>
    </row>
    <row r="223" spans="1:7">
      <c r="A223" s="16"/>
      <c r="B223" s="16" t="str">
        <f t="shared" si="6"/>
        <v>Holz-Beton-Verbunddecke, Nassestrich ohne heruntergeh. Decke (Lignum)</v>
      </c>
      <c r="C223" s="75" t="s">
        <v>487</v>
      </c>
      <c r="D223" s="75" t="s">
        <v>1182</v>
      </c>
      <c r="E223" s="75" t="s">
        <v>950</v>
      </c>
      <c r="F223" s="75" t="s">
        <v>1434</v>
      </c>
      <c r="G223" s="75" t="s">
        <v>2125</v>
      </c>
    </row>
    <row r="224" spans="1:7">
      <c r="A224" s="16"/>
      <c r="B224" s="16" t="str">
        <f t="shared" si="6"/>
        <v>Holzkastendecke gedämmt, Trittschalldämmung, Spanplatte (BTK)</v>
      </c>
      <c r="C224" s="75" t="s">
        <v>622</v>
      </c>
      <c r="D224" s="75" t="s">
        <v>1183</v>
      </c>
      <c r="E224" s="75" t="s">
        <v>951</v>
      </c>
      <c r="F224" s="75" t="s">
        <v>1435</v>
      </c>
      <c r="G224" s="75" t="s">
        <v>2127</v>
      </c>
    </row>
    <row r="225" spans="1:7">
      <c r="A225" s="16"/>
      <c r="B225" s="16" t="str">
        <f t="shared" si="6"/>
        <v>Massivholzdecke, Nassestrich mit heruntergeh. Decke (Lignum)</v>
      </c>
      <c r="C225" s="75" t="s">
        <v>486</v>
      </c>
      <c r="D225" s="75" t="s">
        <v>1184</v>
      </c>
      <c r="E225" s="75" t="s">
        <v>952</v>
      </c>
      <c r="F225" s="75" t="s">
        <v>1436</v>
      </c>
      <c r="G225" s="75" t="s">
        <v>2128</v>
      </c>
    </row>
    <row r="226" spans="1:7">
      <c r="A226" s="16"/>
      <c r="B226" s="16" t="str">
        <f t="shared" si="6"/>
        <v>Massivholzdecke, Nassestrich ohne heruntergeh. Decke (Lignum)</v>
      </c>
      <c r="C226" s="75" t="s">
        <v>484</v>
      </c>
      <c r="D226" s="75" t="s">
        <v>1185</v>
      </c>
      <c r="E226" s="75" t="s">
        <v>953</v>
      </c>
      <c r="F226" s="75" t="s">
        <v>1437</v>
      </c>
      <c r="G226" s="75" t="s">
        <v>2129</v>
      </c>
    </row>
    <row r="227" spans="1:7">
      <c r="A227" s="16"/>
      <c r="B227" s="16" t="str">
        <f t="shared" si="6"/>
        <v>Massivholzdecke, Trockenestrich mit herunterge. Decke (Lignum)</v>
      </c>
      <c r="C227" s="75" t="s">
        <v>485</v>
      </c>
      <c r="D227" s="75" t="s">
        <v>1186</v>
      </c>
      <c r="E227" s="75" t="s">
        <v>954</v>
      </c>
      <c r="F227" s="75" t="s">
        <v>1438</v>
      </c>
      <c r="G227" s="75" t="s">
        <v>2130</v>
      </c>
    </row>
    <row r="228" spans="1:7">
      <c r="A228" s="16"/>
      <c r="B228" s="16" t="str">
        <f t="shared" si="6"/>
        <v>Trapezblechdecke mit Beton 18cm, Trittschalldämmung, Unterlagsboden (BTK)</v>
      </c>
      <c r="C228" s="75" t="s">
        <v>619</v>
      </c>
      <c r="D228" s="75" t="s">
        <v>1187</v>
      </c>
      <c r="E228" s="75" t="s">
        <v>955</v>
      </c>
      <c r="F228" s="75" t="s">
        <v>1439</v>
      </c>
      <c r="G228" s="75" t="s">
        <v>2131</v>
      </c>
    </row>
    <row r="229" spans="1:7">
      <c r="A229" s="16"/>
      <c r="B229" s="16" t="str">
        <f t="shared" si="6"/>
        <v>Dachkonstruktion Holz massiv (Lignum)</v>
      </c>
      <c r="C229" s="75" t="s">
        <v>495</v>
      </c>
      <c r="D229" s="75" t="s">
        <v>1188</v>
      </c>
      <c r="E229" s="75" t="s">
        <v>956</v>
      </c>
      <c r="F229" s="75" t="s">
        <v>1440</v>
      </c>
      <c r="G229" s="75" t="s">
        <v>2137</v>
      </c>
    </row>
    <row r="230" spans="1:7">
      <c r="A230" s="16"/>
      <c r="B230" s="16" t="str">
        <f t="shared" si="6"/>
        <v>Dachkonstruktion Holz, Balken/Sparren mit HWS-Platte beplankt (Lignum)</v>
      </c>
      <c r="C230" s="75" t="s">
        <v>494</v>
      </c>
      <c r="D230" s="75" t="s">
        <v>1189</v>
      </c>
      <c r="E230" s="75" t="s">
        <v>957</v>
      </c>
      <c r="F230" s="75" t="s">
        <v>1441</v>
      </c>
      <c r="G230" s="75" t="s">
        <v>2138</v>
      </c>
    </row>
    <row r="231" spans="1:7">
      <c r="A231" s="16"/>
      <c r="B231" s="16" t="str">
        <f t="shared" si="6"/>
        <v>Dachkonstruktion Holz, Balken/Sparren sichtbar (Lignum)</v>
      </c>
      <c r="C231" s="75" t="s">
        <v>493</v>
      </c>
      <c r="D231" s="75" t="s">
        <v>1190</v>
      </c>
      <c r="E231" s="75" t="s">
        <v>958</v>
      </c>
      <c r="F231" s="75" t="s">
        <v>1442</v>
      </c>
      <c r="G231" s="75" t="s">
        <v>2139</v>
      </c>
    </row>
    <row r="232" spans="1:7">
      <c r="A232" s="16"/>
      <c r="B232" s="16" t="str">
        <f t="shared" si="6"/>
        <v>Flachdach, Betondecke 22cm, EPS-Dämmung, Bitumenbahn, begehbarer Belag (BTK)</v>
      </c>
      <c r="C232" s="75" t="s">
        <v>624</v>
      </c>
      <c r="D232" s="75" t="s">
        <v>1191</v>
      </c>
      <c r="E232" s="75" t="s">
        <v>959</v>
      </c>
      <c r="F232" s="75" t="s">
        <v>1443</v>
      </c>
      <c r="G232" s="75" t="s">
        <v>2140</v>
      </c>
    </row>
    <row r="233" spans="1:7">
      <c r="A233" s="16"/>
      <c r="B233" s="16" t="str">
        <f t="shared" si="6"/>
        <v>Flachdach, Betondecke 22cm, EPS-Dämmung, Bitumenbahn, Kies (BTK)</v>
      </c>
      <c r="C233" s="75" t="s">
        <v>623</v>
      </c>
      <c r="D233" s="75" t="s">
        <v>1192</v>
      </c>
      <c r="E233" s="75" t="s">
        <v>960</v>
      </c>
      <c r="F233" s="75" t="s">
        <v>1444</v>
      </c>
      <c r="G233" s="75" t="s">
        <v>2141</v>
      </c>
    </row>
    <row r="234" spans="1:7">
      <c r="A234" s="16"/>
      <c r="B234" s="16" t="str">
        <f t="shared" si="6"/>
        <v>Flachdach, Holzelementdach ausgedämmt, Bitumenbahn, Kies (BTK)</v>
      </c>
      <c r="C234" s="75" t="s">
        <v>627</v>
      </c>
      <c r="D234" s="75" t="s">
        <v>1193</v>
      </c>
      <c r="E234" s="75" t="s">
        <v>961</v>
      </c>
      <c r="F234" s="75" t="s">
        <v>1445</v>
      </c>
      <c r="G234" s="75" t="s">
        <v>2142</v>
      </c>
    </row>
    <row r="235" spans="1:7">
      <c r="A235" s="16"/>
      <c r="B235" s="16" t="str">
        <f t="shared" si="6"/>
        <v>Flachdach, Trapezblech, Dämmung EPS, begehbar (BTK)</v>
      </c>
      <c r="C235" s="75" t="s">
        <v>625</v>
      </c>
      <c r="D235" s="75" t="s">
        <v>1194</v>
      </c>
      <c r="E235" s="75" t="s">
        <v>962</v>
      </c>
      <c r="F235" s="75" t="s">
        <v>1446</v>
      </c>
      <c r="G235" s="75" t="s">
        <v>2143</v>
      </c>
    </row>
    <row r="236" spans="1:7">
      <c r="A236" s="16"/>
      <c r="B236" s="16" t="str">
        <f t="shared" si="6"/>
        <v>Schrägdach, Holzelementdach ausgedämmt (BTK)</v>
      </c>
      <c r="C236" s="75" t="s">
        <v>628</v>
      </c>
      <c r="D236" s="75" t="s">
        <v>1195</v>
      </c>
      <c r="E236" s="75" t="s">
        <v>963</v>
      </c>
      <c r="F236" s="75" t="s">
        <v>1447</v>
      </c>
      <c r="G236" s="75" t="s">
        <v>2148</v>
      </c>
    </row>
    <row r="237" spans="1:7">
      <c r="A237" s="16"/>
      <c r="B237" s="16" t="str">
        <f t="shared" si="6"/>
        <v>Schrägdach, Sparrenlage mit Dämmung und Zusatzdämmung (BTK)</v>
      </c>
      <c r="C237" s="75" t="s">
        <v>626</v>
      </c>
      <c r="D237" s="75" t="s">
        <v>1196</v>
      </c>
      <c r="E237" s="75" t="s">
        <v>964</v>
      </c>
      <c r="F237" s="75" t="s">
        <v>1448</v>
      </c>
      <c r="G237" s="75" t="s">
        <v>2149</v>
      </c>
    </row>
    <row r="238" spans="1:7">
      <c r="A238" s="16"/>
      <c r="B238" s="16" t="str">
        <f t="shared" si="6"/>
        <v>Abluftanlage Wohnen, Küche und Bad (KBOB)</v>
      </c>
      <c r="C238" s="75" t="s">
        <v>803</v>
      </c>
      <c r="D238" s="75" t="s">
        <v>1197</v>
      </c>
      <c r="E238" s="75" t="s">
        <v>965</v>
      </c>
      <c r="F238" s="75" t="s">
        <v>1449</v>
      </c>
      <c r="G238" s="75" t="s">
        <v>2151</v>
      </c>
    </row>
    <row r="239" spans="1:7">
      <c r="A239" s="16"/>
      <c r="B239" s="16" t="str">
        <f t="shared" si="6"/>
        <v>Elektroanlagen Büro (KBOB)</v>
      </c>
      <c r="C239" s="75" t="s">
        <v>804</v>
      </c>
      <c r="D239" s="75" t="s">
        <v>1198</v>
      </c>
      <c r="E239" s="75" t="s">
        <v>966</v>
      </c>
      <c r="F239" s="75" t="s">
        <v>1450</v>
      </c>
      <c r="G239" s="75" t="s">
        <v>2154</v>
      </c>
    </row>
    <row r="240" spans="1:7">
      <c r="A240" s="16"/>
      <c r="B240" s="16" t="str">
        <f t="shared" si="6"/>
        <v>Elektroanlagen Wohnen (KBOB)</v>
      </c>
      <c r="C240" s="75" t="s">
        <v>805</v>
      </c>
      <c r="D240" s="75" t="s">
        <v>1199</v>
      </c>
      <c r="E240" s="75" t="s">
        <v>967</v>
      </c>
      <c r="F240" s="75" t="s">
        <v>1451</v>
      </c>
      <c r="G240" s="75" t="s">
        <v>2155</v>
      </c>
    </row>
    <row r="241" spans="1:7">
      <c r="A241" s="16"/>
      <c r="B241" s="16" t="str">
        <f t="shared" si="6"/>
        <v>Erdsonden, für Sole-Wasser-Wärmepumpe (KBOB)</v>
      </c>
      <c r="C241" s="75" t="s">
        <v>806</v>
      </c>
      <c r="D241" s="75" t="s">
        <v>1200</v>
      </c>
      <c r="E241" s="75" t="s">
        <v>968</v>
      </c>
      <c r="F241" s="75" t="s">
        <v>1452</v>
      </c>
      <c r="G241" s="75" t="s">
        <v>2156</v>
      </c>
    </row>
    <row r="242" spans="1:7">
      <c r="A242" s="16"/>
      <c r="B242" s="16" t="str">
        <f t="shared" si="6"/>
        <v>Flachkollektor für Raumheizung und Warmwasser EFH (KBOB)</v>
      </c>
      <c r="C242" s="75" t="s">
        <v>807</v>
      </c>
      <c r="D242" s="75" t="s">
        <v>1201</v>
      </c>
      <c r="E242" s="75" t="s">
        <v>969</v>
      </c>
      <c r="F242" s="75" t="s">
        <v>1453</v>
      </c>
      <c r="G242" s="75" t="s">
        <v>2158</v>
      </c>
    </row>
    <row r="243" spans="1:7">
      <c r="A243" s="16"/>
      <c r="B243" s="16" t="str">
        <f t="shared" si="6"/>
        <v>Flachkollektor für Warmwasser EFH (KBOB)</v>
      </c>
      <c r="C243" s="75" t="s">
        <v>808</v>
      </c>
      <c r="D243" s="75" t="s">
        <v>1202</v>
      </c>
      <c r="E243" s="75" t="s">
        <v>970</v>
      </c>
      <c r="F243" s="75" t="s">
        <v>1454</v>
      </c>
      <c r="G243" s="75" t="s">
        <v>2159</v>
      </c>
    </row>
    <row r="244" spans="1:7">
      <c r="A244" s="16"/>
      <c r="B244" s="16" t="str">
        <f t="shared" si="6"/>
        <v>Flachkollektor für Warmwasser MFH (KBOB)</v>
      </c>
      <c r="C244" s="75" t="s">
        <v>809</v>
      </c>
      <c r="D244" s="75" t="s">
        <v>1203</v>
      </c>
      <c r="E244" s="75" t="s">
        <v>971</v>
      </c>
      <c r="F244" s="75" t="s">
        <v>1455</v>
      </c>
      <c r="G244" s="75" t="s">
        <v>2160</v>
      </c>
    </row>
    <row r="245" spans="1:7">
      <c r="A245" s="16"/>
      <c r="B245" s="16" t="str">
        <f t="shared" si="6"/>
        <v>Lüftungsanlage Büro (4 m3/h*m2) (KBOB)</v>
      </c>
      <c r="C245" s="75" t="s">
        <v>810</v>
      </c>
      <c r="D245" s="75" t="s">
        <v>1204</v>
      </c>
      <c r="E245" s="75" t="s">
        <v>972</v>
      </c>
      <c r="F245" s="75" t="s">
        <v>1456</v>
      </c>
      <c r="G245" s="75" t="s">
        <v>2161</v>
      </c>
    </row>
    <row r="246" spans="1:7">
      <c r="A246" s="16"/>
      <c r="B246" s="16" t="str">
        <f t="shared" si="6"/>
        <v>Lüftungsanlage Schule, Versammlung (8 m3/h*m2) (KBOB)</v>
      </c>
      <c r="C246" s="75" t="s">
        <v>811</v>
      </c>
      <c r="D246" s="75" t="s">
        <v>1205</v>
      </c>
      <c r="E246" s="75" t="s">
        <v>973</v>
      </c>
      <c r="F246" s="75" t="s">
        <v>1457</v>
      </c>
      <c r="G246" s="75" t="s">
        <v>2163</v>
      </c>
    </row>
    <row r="247" spans="1:7">
      <c r="A247" s="16"/>
      <c r="B247" s="16" t="str">
        <f t="shared" si="6"/>
        <v>Lüftungsanlage Wohnen, Blechkanäle, inkl. Küchenabluft (KBOB)</v>
      </c>
      <c r="C247" s="75" t="s">
        <v>812</v>
      </c>
      <c r="D247" s="75" t="s">
        <v>1206</v>
      </c>
      <c r="E247" s="75" t="s">
        <v>974</v>
      </c>
      <c r="F247" s="75" t="s">
        <v>1458</v>
      </c>
      <c r="G247" s="75" t="s">
        <v>2165</v>
      </c>
    </row>
    <row r="248" spans="1:7">
      <c r="A248" s="16"/>
      <c r="B248" s="16" t="str">
        <f t="shared" si="6"/>
        <v>Lüftungsanlage Wohnen, PE-Kanäle, inkl. Küchenabluft (KBOB)</v>
      </c>
      <c r="C248" s="75" t="s">
        <v>813</v>
      </c>
      <c r="D248" s="75" t="s">
        <v>1207</v>
      </c>
      <c r="E248" s="75" t="s">
        <v>975</v>
      </c>
      <c r="F248" s="75" t="s">
        <v>1459</v>
      </c>
      <c r="G248" s="75" t="s">
        <v>2166</v>
      </c>
    </row>
    <row r="249" spans="1:7">
      <c r="A249" s="16"/>
      <c r="B249" s="16" t="str">
        <f t="shared" ref="B249:B280" si="7">INDEX($C249:$F249,1,MATCH(Sprachwahl,ListSprache,0))</f>
        <v>Lüftungsanlage, spez. Luftmenge 6 m3/hm2 EBF (KBOB)</v>
      </c>
      <c r="C249" s="75" t="s">
        <v>814</v>
      </c>
      <c r="D249" s="75" t="s">
        <v>1208</v>
      </c>
      <c r="E249" s="75" t="s">
        <v>976</v>
      </c>
      <c r="F249" s="75" t="s">
        <v>1460</v>
      </c>
      <c r="G249" s="75" t="s">
        <v>2167</v>
      </c>
    </row>
    <row r="250" spans="1:7">
      <c r="A250" s="16"/>
      <c r="B250" s="16" t="str">
        <f t="shared" si="7"/>
        <v>Sanitäranlagen, Büro, aufwändig, inkl. Apparate und Leitungen (KBOB)</v>
      </c>
      <c r="C250" s="75" t="s">
        <v>815</v>
      </c>
      <c r="D250" s="75" t="s">
        <v>1209</v>
      </c>
      <c r="E250" s="75" t="s">
        <v>977</v>
      </c>
      <c r="F250" s="75" t="s">
        <v>1461</v>
      </c>
      <c r="G250" s="75" t="s">
        <v>2170</v>
      </c>
    </row>
    <row r="251" spans="1:7">
      <c r="A251" s="16"/>
      <c r="B251" s="16" t="str">
        <f t="shared" si="7"/>
        <v>Sanitäranlagen, Büro, einfach, inkl. Apparate und Leitungen (KBOB)</v>
      </c>
      <c r="C251" s="75" t="s">
        <v>816</v>
      </c>
      <c r="D251" s="75" t="s">
        <v>1210</v>
      </c>
      <c r="E251" s="75" t="s">
        <v>978</v>
      </c>
      <c r="F251" s="75" t="s">
        <v>1462</v>
      </c>
      <c r="G251" s="75" t="s">
        <v>2171</v>
      </c>
    </row>
    <row r="252" spans="1:7">
      <c r="A252" s="16"/>
      <c r="B252" s="16" t="str">
        <f t="shared" si="7"/>
        <v>Sanitäranlagen, Wohnen, inkl. Apparate und Leitungen (KBOB)</v>
      </c>
      <c r="C252" s="75" t="s">
        <v>817</v>
      </c>
      <c r="D252" s="75" t="s">
        <v>1211</v>
      </c>
      <c r="E252" s="75" t="s">
        <v>979</v>
      </c>
      <c r="F252" s="75" t="s">
        <v>1463</v>
      </c>
      <c r="G252" s="75" t="s">
        <v>2172</v>
      </c>
    </row>
    <row r="253" spans="1:7">
      <c r="A253" s="16"/>
      <c r="B253" s="16" t="str">
        <f t="shared" si="7"/>
        <v>Solarstromanlage Fassade (KBOB)</v>
      </c>
      <c r="C253" s="75" t="s">
        <v>818</v>
      </c>
      <c r="D253" s="75" t="s">
        <v>1212</v>
      </c>
      <c r="E253" s="75" t="s">
        <v>980</v>
      </c>
      <c r="F253" s="75" t="s">
        <v>1464</v>
      </c>
      <c r="G253" s="75" t="s">
        <v>2175</v>
      </c>
    </row>
    <row r="254" spans="1:7">
      <c r="A254" s="16"/>
      <c r="B254" s="16" t="str">
        <f t="shared" si="7"/>
        <v>Solarstromanlage Flachdach (KBOB)</v>
      </c>
      <c r="C254" s="75" t="s">
        <v>819</v>
      </c>
      <c r="D254" s="75" t="s">
        <v>1213</v>
      </c>
      <c r="E254" s="75" t="s">
        <v>981</v>
      </c>
      <c r="F254" s="75" t="s">
        <v>1465</v>
      </c>
      <c r="G254" s="75" t="s">
        <v>2176</v>
      </c>
    </row>
    <row r="255" spans="1:7">
      <c r="A255" s="16"/>
      <c r="B255" s="16" t="str">
        <f t="shared" si="7"/>
        <v>Solarstromanlage Schrägdach (KBOB)</v>
      </c>
      <c r="C255" s="75" t="s">
        <v>820</v>
      </c>
      <c r="D255" s="75" t="s">
        <v>1214</v>
      </c>
      <c r="E255" s="75" t="s">
        <v>982</v>
      </c>
      <c r="F255" s="75" t="s">
        <v>1466</v>
      </c>
      <c r="G255" s="75" t="s">
        <v>2177</v>
      </c>
    </row>
    <row r="256" spans="1:7">
      <c r="A256" s="16"/>
      <c r="B256" s="16" t="str">
        <f t="shared" si="7"/>
        <v>Wärmeabgabe über Fussbodenheizung (KBOB)</v>
      </c>
      <c r="C256" s="75" t="s">
        <v>821</v>
      </c>
      <c r="D256" s="75" t="s">
        <v>1215</v>
      </c>
      <c r="E256" s="75" t="s">
        <v>983</v>
      </c>
      <c r="F256" s="75" t="s">
        <v>1467</v>
      </c>
      <c r="G256" s="75" t="s">
        <v>2178</v>
      </c>
    </row>
    <row r="257" spans="1:7">
      <c r="A257" s="16"/>
      <c r="B257" s="16" t="str">
        <f t="shared" si="7"/>
        <v>Wärmeabgabe über Heizkörper (KBOB)</v>
      </c>
      <c r="C257" s="75" t="s">
        <v>822</v>
      </c>
      <c r="D257" s="75" t="s">
        <v>1216</v>
      </c>
      <c r="E257" s="75" t="s">
        <v>984</v>
      </c>
      <c r="F257" s="75" t="s">
        <v>1468</v>
      </c>
      <c r="G257" s="75" t="s">
        <v>2179</v>
      </c>
    </row>
    <row r="258" spans="1:7">
      <c r="A258" s="16"/>
      <c r="B258" s="16" t="str">
        <f t="shared" si="7"/>
        <v>Wärmeabgabe über Heizkühldecke (ohne Gips- oder Metalldecke) (KBOB)</v>
      </c>
      <c r="C258" s="75" t="s">
        <v>823</v>
      </c>
      <c r="D258" s="75" t="s">
        <v>1217</v>
      </c>
      <c r="E258" s="75" t="s">
        <v>985</v>
      </c>
      <c r="F258" s="75" t="s">
        <v>1469</v>
      </c>
      <c r="G258" s="75" t="s">
        <v>2180</v>
      </c>
    </row>
    <row r="259" spans="1:7">
      <c r="A259" s="16"/>
      <c r="B259" s="16" t="str">
        <f t="shared" si="7"/>
        <v>Wärmeerzeuger, spez. Leistungsbedarf 10 W/m2 (KBOB)</v>
      </c>
      <c r="C259" s="75" t="s">
        <v>824</v>
      </c>
      <c r="D259" s="75" t="s">
        <v>1218</v>
      </c>
      <c r="E259" s="75" t="s">
        <v>986</v>
      </c>
      <c r="F259" s="75" t="s">
        <v>1470</v>
      </c>
      <c r="G259" s="75" t="s">
        <v>2181</v>
      </c>
    </row>
    <row r="260" spans="1:7">
      <c r="A260" s="16"/>
      <c r="B260" s="16" t="str">
        <f t="shared" si="7"/>
        <v>Wärmeerzeuger, spez. Leistungsbedarf 30 W/m2 (KBOB)</v>
      </c>
      <c r="C260" s="75" t="s">
        <v>825</v>
      </c>
      <c r="D260" s="75" t="s">
        <v>1219</v>
      </c>
      <c r="E260" s="75" t="s">
        <v>987</v>
      </c>
      <c r="F260" s="75" t="s">
        <v>1471</v>
      </c>
      <c r="G260" s="75" t="s">
        <v>2182</v>
      </c>
    </row>
    <row r="261" spans="1:7">
      <c r="A261" s="16"/>
      <c r="B261" s="16" t="str">
        <f t="shared" si="7"/>
        <v>Wärmeerzeuger, spez. Leistungsbedarf 50 W/m2 (KBOB)</v>
      </c>
      <c r="C261" s="75" t="s">
        <v>826</v>
      </c>
      <c r="D261" s="75" t="s">
        <v>1220</v>
      </c>
      <c r="E261" s="75" t="s">
        <v>988</v>
      </c>
      <c r="F261" s="75" t="s">
        <v>1472</v>
      </c>
      <c r="G261" s="75" t="s">
        <v>2183</v>
      </c>
    </row>
    <row r="262" spans="1:7">
      <c r="A262" s="16"/>
      <c r="B262" s="16" t="str">
        <f t="shared" si="7"/>
        <v>Wärmeverteilung Bürogebäude (KBOB)</v>
      </c>
      <c r="C262" s="75" t="s">
        <v>827</v>
      </c>
      <c r="D262" s="75" t="s">
        <v>1221</v>
      </c>
      <c r="E262" s="75" t="s">
        <v>989</v>
      </c>
      <c r="F262" s="75" t="s">
        <v>1473</v>
      </c>
      <c r="G262" s="75" t="s">
        <v>2185</v>
      </c>
    </row>
    <row r="263" spans="1:7">
      <c r="A263" s="16"/>
      <c r="B263" s="16" t="str">
        <f t="shared" si="7"/>
        <v>Wärmeverteilung und Abgabe, Luftheizung (KBOB)</v>
      </c>
      <c r="C263" s="75" t="s">
        <v>828</v>
      </c>
      <c r="D263" s="75" t="s">
        <v>1222</v>
      </c>
      <c r="E263" s="75" t="s">
        <v>990</v>
      </c>
      <c r="F263" s="75" t="s">
        <v>1474</v>
      </c>
      <c r="G263" s="75" t="s">
        <v>2188</v>
      </c>
    </row>
    <row r="264" spans="1:7">
      <c r="A264" s="16"/>
      <c r="B264" s="16" t="str">
        <f t="shared" si="7"/>
        <v>Wärmeverteilung Wohngebäude (KBOB)</v>
      </c>
      <c r="C264" s="75" t="s">
        <v>829</v>
      </c>
      <c r="D264" s="75" t="s">
        <v>1223</v>
      </c>
      <c r="E264" s="75" t="s">
        <v>991</v>
      </c>
      <c r="F264" s="75" t="s">
        <v>1475</v>
      </c>
      <c r="G264" s="75" t="s">
        <v>2189</v>
      </c>
    </row>
    <row r="265" spans="1:7">
      <c r="A265" s="16"/>
      <c r="B265" s="16" t="str">
        <f t="shared" si="7"/>
        <v>Alu-Fenster 3-IV (BTK)</v>
      </c>
      <c r="C265" s="75" t="s">
        <v>641</v>
      </c>
      <c r="D265" s="75" t="s">
        <v>1224</v>
      </c>
      <c r="E265" s="75" t="s">
        <v>992</v>
      </c>
      <c r="F265" s="75" t="s">
        <v>1476</v>
      </c>
      <c r="G265" s="75" t="s">
        <v>2190</v>
      </c>
    </row>
    <row r="266" spans="1:7">
      <c r="A266" s="16"/>
      <c r="B266" s="16" t="str">
        <f t="shared" si="7"/>
        <v>Aussentüre Holz (BTK)</v>
      </c>
      <c r="C266" s="75" t="s">
        <v>642</v>
      </c>
      <c r="D266" s="75" t="s">
        <v>1225</v>
      </c>
      <c r="E266" s="75" t="s">
        <v>993</v>
      </c>
      <c r="F266" s="75" t="s">
        <v>1477</v>
      </c>
      <c r="G266" s="75" t="s">
        <v>2191</v>
      </c>
    </row>
    <row r="267" spans="1:7">
      <c r="A267" s="16"/>
      <c r="B267" s="16" t="str">
        <f t="shared" si="7"/>
        <v>Holzfenster 3-IV (BTK)</v>
      </c>
      <c r="C267" s="75" t="s">
        <v>638</v>
      </c>
      <c r="D267" s="75" t="s">
        <v>1226</v>
      </c>
      <c r="E267" s="75" t="s">
        <v>994</v>
      </c>
      <c r="F267" s="75" t="s">
        <v>1478</v>
      </c>
      <c r="G267" s="75" t="s">
        <v>2192</v>
      </c>
    </row>
    <row r="268" spans="1:7">
      <c r="A268" s="16"/>
      <c r="B268" s="16" t="str">
        <f t="shared" si="7"/>
        <v>Holz-Metall-Fenster 3-IV (BTK)</v>
      </c>
      <c r="C268" s="75" t="s">
        <v>639</v>
      </c>
      <c r="D268" s="75" t="s">
        <v>1227</v>
      </c>
      <c r="E268" s="75" t="s">
        <v>995</v>
      </c>
      <c r="F268" s="75" t="s">
        <v>1479</v>
      </c>
      <c r="G268" s="75" t="s">
        <v>2193</v>
      </c>
    </row>
    <row r="269" spans="1:7">
      <c r="A269" s="16"/>
      <c r="B269" s="16" t="str">
        <f t="shared" si="7"/>
        <v>Kunststofffenster 3-IV (BTK)</v>
      </c>
      <c r="C269" s="75" t="s">
        <v>640</v>
      </c>
      <c r="D269" s="75" t="s">
        <v>1228</v>
      </c>
      <c r="E269" s="75" t="s">
        <v>996</v>
      </c>
      <c r="F269" s="75" t="s">
        <v>1480</v>
      </c>
      <c r="G269" s="75" t="s">
        <v>2194</v>
      </c>
    </row>
    <row r="270" spans="1:7">
      <c r="A270" s="16"/>
      <c r="B270" s="16" t="str">
        <f t="shared" si="7"/>
        <v>Aushub (SIA 2032)</v>
      </c>
      <c r="C270" s="75" t="s">
        <v>795</v>
      </c>
      <c r="D270" s="75" t="s">
        <v>1481</v>
      </c>
      <c r="E270" s="75" t="s">
        <v>1535</v>
      </c>
      <c r="F270" s="75" t="s">
        <v>1481</v>
      </c>
      <c r="G270" s="75" t="s">
        <v>2057</v>
      </c>
    </row>
    <row r="271" spans="1:7">
      <c r="A271" s="16"/>
      <c r="B271" s="16" t="str">
        <f t="shared" si="7"/>
        <v>Baugrubenabschluss, Rühlwand (SIA 2032)</v>
      </c>
      <c r="C271" s="75" t="s">
        <v>796</v>
      </c>
      <c r="D271" s="75" t="s">
        <v>1562</v>
      </c>
      <c r="E271" s="75" t="s">
        <v>1563</v>
      </c>
      <c r="F271" s="75" t="s">
        <v>1564</v>
      </c>
      <c r="G271" s="75" t="s">
        <v>2059</v>
      </c>
    </row>
    <row r="272" spans="1:7">
      <c r="A272" s="16"/>
      <c r="B272" s="16" t="str">
        <f t="shared" si="7"/>
        <v>Baugrubenabschluss, Schlitzwand (SIA 2032)</v>
      </c>
      <c r="C272" s="75" t="s">
        <v>1566</v>
      </c>
      <c r="D272" s="75" t="s">
        <v>1568</v>
      </c>
      <c r="E272" s="75" t="s">
        <v>1569</v>
      </c>
      <c r="F272" s="75" t="s">
        <v>1565</v>
      </c>
      <c r="G272" s="75" t="s">
        <v>2058</v>
      </c>
    </row>
    <row r="273" spans="1:7">
      <c r="A273" s="16"/>
      <c r="B273" s="16" t="str">
        <f t="shared" si="7"/>
        <v>Baugrubenabschluss, Spundwand (SIA 2032)</v>
      </c>
      <c r="C273" s="75" t="s">
        <v>797</v>
      </c>
      <c r="D273" s="75" t="s">
        <v>1508</v>
      </c>
      <c r="E273" s="75" t="s">
        <v>1570</v>
      </c>
      <c r="F273" s="75" t="s">
        <v>1567</v>
      </c>
      <c r="G273" s="75" t="s">
        <v>2060</v>
      </c>
    </row>
    <row r="274" spans="1:7">
      <c r="A274" s="16"/>
      <c r="B274" s="16" t="str">
        <f t="shared" si="7"/>
        <v>Pfählung, Mikrobohrpfahl (SIA 2032)</v>
      </c>
      <c r="C274" s="75" t="s">
        <v>798</v>
      </c>
      <c r="D274" s="75" t="s">
        <v>1509</v>
      </c>
      <c r="E274" s="75" t="s">
        <v>1536</v>
      </c>
      <c r="F274" s="75" t="s">
        <v>1482</v>
      </c>
      <c r="G274" s="75" t="s">
        <v>2063</v>
      </c>
    </row>
    <row r="275" spans="1:7">
      <c r="A275" s="16"/>
      <c r="B275" s="16" t="str">
        <f t="shared" si="7"/>
        <v>Pfählung, Ortbetonverdrängungspfahl (SIA 2032)</v>
      </c>
      <c r="C275" s="75" t="s">
        <v>799</v>
      </c>
      <c r="D275" s="75" t="s">
        <v>1510</v>
      </c>
      <c r="E275" s="75" t="s">
        <v>1537</v>
      </c>
      <c r="F275" s="75" t="s">
        <v>1483</v>
      </c>
      <c r="G275" s="75" t="s">
        <v>2064</v>
      </c>
    </row>
    <row r="276" spans="1:7">
      <c r="A276" s="16"/>
      <c r="B276" s="16" t="str">
        <f t="shared" si="7"/>
        <v>Pfählung, Vorgefertigter Betonpfahl (SIA 2032)</v>
      </c>
      <c r="C276" s="75" t="s">
        <v>800</v>
      </c>
      <c r="D276" s="75" t="s">
        <v>1511</v>
      </c>
      <c r="E276" s="75" t="s">
        <v>1538</v>
      </c>
      <c r="F276" s="75" t="s">
        <v>1484</v>
      </c>
      <c r="G276" s="75" t="s">
        <v>2065</v>
      </c>
    </row>
    <row r="277" spans="1:7">
      <c r="A277" s="16"/>
      <c r="B277" s="16" t="str">
        <f t="shared" si="7"/>
        <v>Bodenplatte, Fundament ungedämmt (SIA 2032)</v>
      </c>
      <c r="C277" s="75" t="s">
        <v>764</v>
      </c>
      <c r="D277" s="75" t="s">
        <v>1512</v>
      </c>
      <c r="E277" s="75" t="s">
        <v>1539</v>
      </c>
      <c r="F277" s="75" t="s">
        <v>1485</v>
      </c>
      <c r="G277" s="75" t="s">
        <v>2067</v>
      </c>
    </row>
    <row r="278" spans="1:7">
      <c r="A278" s="16"/>
      <c r="B278" s="16" t="str">
        <f t="shared" si="7"/>
        <v>Bodenplatte, Fundament gedämmt (SIA 2032)</v>
      </c>
      <c r="C278" s="75" t="s">
        <v>765</v>
      </c>
      <c r="D278" s="75" t="s">
        <v>1533</v>
      </c>
      <c r="E278" s="75" t="s">
        <v>1540</v>
      </c>
      <c r="F278" s="75" t="s">
        <v>1486</v>
      </c>
      <c r="G278" s="75" t="s">
        <v>2066</v>
      </c>
    </row>
    <row r="279" spans="1:7">
      <c r="A279" s="16"/>
      <c r="B279" s="16" t="str">
        <f t="shared" si="7"/>
        <v>Aussenwand unter Terrain ungedämmt (SIA 2032)</v>
      </c>
      <c r="C279" s="76" t="s">
        <v>766</v>
      </c>
      <c r="D279" s="75" t="s">
        <v>1513</v>
      </c>
      <c r="E279" s="75" t="s">
        <v>1541</v>
      </c>
      <c r="F279" s="75" t="s">
        <v>1487</v>
      </c>
      <c r="G279" s="75" t="s">
        <v>2072</v>
      </c>
    </row>
    <row r="280" spans="1:7">
      <c r="A280" s="16"/>
      <c r="B280" s="16" t="str">
        <f t="shared" si="7"/>
        <v>Aussenwand unter Terrain gedämmt (SIA 2032)</v>
      </c>
      <c r="C280" s="75" t="s">
        <v>767</v>
      </c>
      <c r="D280" s="75" t="s">
        <v>1534</v>
      </c>
      <c r="E280" s="75" t="s">
        <v>1542</v>
      </c>
      <c r="F280" s="75" t="s">
        <v>1488</v>
      </c>
      <c r="G280" s="75" t="s">
        <v>2071</v>
      </c>
    </row>
    <row r="281" spans="1:7">
      <c r="A281" s="16"/>
      <c r="B281" s="16" t="str">
        <f t="shared" ref="B281:B312" si="8">INDEX($C281:$F281,1,MATCH(Sprachwahl,ListSprache,0))</f>
        <v>Dach unter Terrain ungedämmt (SIA 2032)</v>
      </c>
      <c r="C281" s="75" t="s">
        <v>768</v>
      </c>
      <c r="D281" s="75" t="s">
        <v>1514</v>
      </c>
      <c r="E281" s="75" t="s">
        <v>1543</v>
      </c>
      <c r="F281" s="75" t="s">
        <v>1489</v>
      </c>
      <c r="G281" s="75" t="s">
        <v>2136</v>
      </c>
    </row>
    <row r="282" spans="1:7">
      <c r="A282" s="16"/>
      <c r="B282" s="16" t="str">
        <f t="shared" si="8"/>
        <v>Dach unter Terrain gedämmt (SIA 2032)</v>
      </c>
      <c r="C282" s="75" t="s">
        <v>769</v>
      </c>
      <c r="D282" s="75" t="s">
        <v>1515</v>
      </c>
      <c r="E282" s="75" t="s">
        <v>1544</v>
      </c>
      <c r="F282" s="75" t="s">
        <v>1490</v>
      </c>
      <c r="G282" s="75" t="s">
        <v>2135</v>
      </c>
    </row>
    <row r="283" spans="1:7">
      <c r="A283" s="16"/>
      <c r="B283" s="16" t="str">
        <f t="shared" si="8"/>
        <v>Betonwand mit Innenputz, äussere Backsteinverkleidung  (SIA 2032)</v>
      </c>
      <c r="C283" s="75" t="s">
        <v>1874</v>
      </c>
      <c r="D283" s="75" t="s">
        <v>1857</v>
      </c>
      <c r="E283" s="75" t="s">
        <v>1859</v>
      </c>
      <c r="F283" s="75" t="s">
        <v>1891</v>
      </c>
      <c r="G283" s="75" t="s">
        <v>2083</v>
      </c>
    </row>
    <row r="284" spans="1:7">
      <c r="A284" s="16"/>
      <c r="B284" s="16" t="str">
        <f t="shared" si="8"/>
        <v>Betonwand mit Innenputz, hinterlüftete Bekleidung Faserzement/Naturstein (SIA 2032)</v>
      </c>
      <c r="C284" s="75" t="s">
        <v>1889</v>
      </c>
      <c r="D284" s="75" t="s">
        <v>1900</v>
      </c>
      <c r="E284" s="75" t="s">
        <v>1894</v>
      </c>
      <c r="F284" s="75" t="s">
        <v>1861</v>
      </c>
      <c r="G284" s="75" t="s">
        <v>2084</v>
      </c>
    </row>
    <row r="285" spans="1:7">
      <c r="A285" s="16"/>
      <c r="B285" s="16" t="str">
        <f t="shared" si="8"/>
        <v>Betonwand mit Innenputz, hinterlüftete Bekleidung Metall/Glas (SIA 2032)</v>
      </c>
      <c r="C285" s="75" t="s">
        <v>1890</v>
      </c>
      <c r="D285" s="75" t="s">
        <v>1901</v>
      </c>
      <c r="E285" s="75" t="s">
        <v>1895</v>
      </c>
      <c r="F285" s="75" t="s">
        <v>1862</v>
      </c>
      <c r="G285" s="75" t="s">
        <v>2085</v>
      </c>
    </row>
    <row r="286" spans="1:7">
      <c r="A286" s="16"/>
      <c r="B286" s="16" t="str">
        <f t="shared" si="8"/>
        <v>Betonwand mit Innenputz, verputzte Aussenwärmedämmung (SIA 2032)</v>
      </c>
      <c r="C286" s="75" t="s">
        <v>1875</v>
      </c>
      <c r="D286" s="75" t="s">
        <v>1858</v>
      </c>
      <c r="E286" s="75" t="s">
        <v>1860</v>
      </c>
      <c r="F286" s="75" t="s">
        <v>1863</v>
      </c>
      <c r="G286" s="75" t="s">
        <v>2086</v>
      </c>
    </row>
    <row r="287" spans="1:7">
      <c r="A287" s="16"/>
      <c r="B287" s="16" t="str">
        <f t="shared" si="8"/>
        <v>Backsteinwand mit Innenputz, Zweischalenmauerwerk (SIA 2032)</v>
      </c>
      <c r="C287" s="75" t="s">
        <v>1876</v>
      </c>
      <c r="D287" s="75" t="s">
        <v>1887</v>
      </c>
      <c r="E287" s="75" t="s">
        <v>1852</v>
      </c>
      <c r="F287" s="75" t="s">
        <v>1851</v>
      </c>
      <c r="G287" s="75" t="s">
        <v>2078</v>
      </c>
    </row>
    <row r="288" spans="1:7">
      <c r="A288" s="16"/>
      <c r="B288" s="16" t="str">
        <f t="shared" si="8"/>
        <v>Backsteinwand mit Innenputz, hinterlüftete Bekleidung Faserzement/Naturstein (SIA 2032)</v>
      </c>
      <c r="C288" s="75" t="s">
        <v>1877</v>
      </c>
      <c r="D288" s="75" t="s">
        <v>1902</v>
      </c>
      <c r="E288" s="75" t="s">
        <v>1896</v>
      </c>
      <c r="F288" s="75" t="s">
        <v>1854</v>
      </c>
      <c r="G288" s="75" t="s">
        <v>2079</v>
      </c>
    </row>
    <row r="289" spans="1:7">
      <c r="A289" s="16"/>
      <c r="B289" s="16" t="str">
        <f t="shared" si="8"/>
        <v>Backsteinwand mit Innenputz, hinterlüftete Bekleidung Holz (SIA 2032)</v>
      </c>
      <c r="C289" s="75" t="s">
        <v>1878</v>
      </c>
      <c r="D289" s="75" t="s">
        <v>1903</v>
      </c>
      <c r="E289" s="75" t="s">
        <v>1897</v>
      </c>
      <c r="F289" s="75" t="s">
        <v>1855</v>
      </c>
      <c r="G289" s="75" t="s">
        <v>2080</v>
      </c>
    </row>
    <row r="290" spans="1:7">
      <c r="A290" s="16"/>
      <c r="B290" s="16" t="str">
        <f t="shared" si="8"/>
        <v>Backsteinwand mit Innenputz, hinterlüftete Bekleidung Metall/Glas (SIA 2032)</v>
      </c>
      <c r="C290" s="75" t="s">
        <v>1879</v>
      </c>
      <c r="D290" s="75" t="s">
        <v>1904</v>
      </c>
      <c r="E290" s="75" t="s">
        <v>1898</v>
      </c>
      <c r="F290" s="75" t="s">
        <v>1856</v>
      </c>
      <c r="G290" s="75" t="s">
        <v>2081</v>
      </c>
    </row>
    <row r="291" spans="1:7">
      <c r="A291" s="16"/>
      <c r="B291" s="16" t="str">
        <f t="shared" si="8"/>
        <v>Backsteinwand mit Innenputz, verputzte Aussenwärmedämmung (SIA 2032)</v>
      </c>
      <c r="C291" s="75" t="s">
        <v>1880</v>
      </c>
      <c r="D291" s="75" t="s">
        <v>1888</v>
      </c>
      <c r="E291" s="75" t="s">
        <v>1899</v>
      </c>
      <c r="F291" s="75" t="s">
        <v>1853</v>
      </c>
      <c r="G291" s="75" t="s">
        <v>2082</v>
      </c>
    </row>
    <row r="292" spans="1:7">
      <c r="A292" s="16"/>
      <c r="B292" s="16" t="str">
        <f t="shared" si="8"/>
        <v>Holzwand mit innerer Gipsbekleidung, hinterlüftete Bekleidung Faserzement/Naturstein (SIA 2032)</v>
      </c>
      <c r="C292" s="75" t="s">
        <v>1881</v>
      </c>
      <c r="D292" s="75" t="s">
        <v>1905</v>
      </c>
      <c r="E292" s="75" t="s">
        <v>1909</v>
      </c>
      <c r="F292" s="75" t="s">
        <v>1864</v>
      </c>
      <c r="G292" s="75" t="s">
        <v>2089</v>
      </c>
    </row>
    <row r="293" spans="1:7">
      <c r="A293" s="16"/>
      <c r="B293" s="16" t="str">
        <f t="shared" si="8"/>
        <v>Holzwand mit innerer Gipsbekleidung, hinterlüftete Bekleidung Holz (SIA 2032)</v>
      </c>
      <c r="C293" s="75" t="s">
        <v>1882</v>
      </c>
      <c r="D293" s="75" t="s">
        <v>1906</v>
      </c>
      <c r="E293" s="75" t="s">
        <v>1910</v>
      </c>
      <c r="F293" s="75" t="s">
        <v>1865</v>
      </c>
      <c r="G293" s="75" t="s">
        <v>2090</v>
      </c>
    </row>
    <row r="294" spans="1:7">
      <c r="A294" s="16"/>
      <c r="B294" s="16" t="str">
        <f t="shared" si="8"/>
        <v>Holzwand mit innerer Gipsbekleidung, hinterlüftete Bekleidung Metall/Glas (SIA 2032)</v>
      </c>
      <c r="C294" s="75" t="s">
        <v>1883</v>
      </c>
      <c r="D294" s="75" t="s">
        <v>1907</v>
      </c>
      <c r="E294" s="75" t="s">
        <v>1911</v>
      </c>
      <c r="F294" s="75" t="s">
        <v>1866</v>
      </c>
      <c r="G294" s="75" t="s">
        <v>2091</v>
      </c>
    </row>
    <row r="295" spans="1:7">
      <c r="A295" s="16"/>
      <c r="B295" s="16" t="str">
        <f t="shared" si="8"/>
        <v>Einsteinmauerwerk dämmend, mit Innenputz und Aussenputz (SIA 2032)</v>
      </c>
      <c r="C295" s="75" t="s">
        <v>1884</v>
      </c>
      <c r="D295" s="75" t="s">
        <v>1868</v>
      </c>
      <c r="E295" s="75" t="s">
        <v>1869</v>
      </c>
      <c r="F295" s="75" t="s">
        <v>1867</v>
      </c>
      <c r="G295" s="75" t="s">
        <v>2087</v>
      </c>
    </row>
    <row r="296" spans="1:7">
      <c r="A296" s="16"/>
      <c r="B296" s="16" t="str">
        <f t="shared" si="8"/>
        <v>Einsteinmauerwerk dämmend, mit Innenputz und verputzter Aussenwärmedämmung (SIA 2032)</v>
      </c>
      <c r="C296" s="75" t="s">
        <v>1885</v>
      </c>
      <c r="D296" s="75" t="s">
        <v>1908</v>
      </c>
      <c r="E296" s="75" t="s">
        <v>1912</v>
      </c>
      <c r="F296" s="75" t="s">
        <v>1870</v>
      </c>
      <c r="G296" s="75" t="s">
        <v>2088</v>
      </c>
    </row>
    <row r="297" spans="1:7">
      <c r="A297" s="16"/>
      <c r="B297" s="16" t="str">
        <f t="shared" si="8"/>
        <v>Stützenraster, Fassadensystem Alu/Glas (SIA 2032)</v>
      </c>
      <c r="C297" s="75" t="s">
        <v>1886</v>
      </c>
      <c r="D297" s="75" t="s">
        <v>1871</v>
      </c>
      <c r="E297" s="75" t="s">
        <v>1872</v>
      </c>
      <c r="F297" s="75" t="s">
        <v>1873</v>
      </c>
      <c r="G297" s="75" t="s">
        <v>2092</v>
      </c>
    </row>
    <row r="298" spans="1:7">
      <c r="A298" s="16"/>
      <c r="B298" s="16" t="str">
        <f t="shared" si="8"/>
        <v>Mittelwert Fenster 3-fach IV, inkl. Sonnenschutz (SIA 2032)</v>
      </c>
      <c r="C298" s="75" t="s">
        <v>770</v>
      </c>
      <c r="D298" s="75" t="s">
        <v>1571</v>
      </c>
      <c r="E298" s="75" t="s">
        <v>1572</v>
      </c>
      <c r="F298" s="75" t="s">
        <v>1491</v>
      </c>
      <c r="G298" s="75" t="s">
        <v>2195</v>
      </c>
    </row>
    <row r="299" spans="1:7">
      <c r="A299" s="16"/>
      <c r="B299" s="16" t="str">
        <f t="shared" si="8"/>
        <v>Betondecke 25 cm mit Innenputz, gedämmt (SIA 2032)</v>
      </c>
      <c r="C299" s="75" t="s">
        <v>1842</v>
      </c>
      <c r="D299" s="75" t="s">
        <v>1843</v>
      </c>
      <c r="E299" s="75" t="s">
        <v>1844</v>
      </c>
      <c r="F299" s="75" t="s">
        <v>1845</v>
      </c>
      <c r="G299" s="75" t="s">
        <v>2133</v>
      </c>
    </row>
    <row r="300" spans="1:7">
      <c r="A300" s="16"/>
      <c r="B300" s="16" t="str">
        <f t="shared" si="8"/>
        <v>Betondecke 40 cm mit Innenputz, gedämmt (SIA 2032)</v>
      </c>
      <c r="C300" s="75" t="s">
        <v>1846</v>
      </c>
      <c r="D300" s="75" t="s">
        <v>1847</v>
      </c>
      <c r="E300" s="75" t="s">
        <v>1848</v>
      </c>
      <c r="F300" s="75" t="s">
        <v>1849</v>
      </c>
      <c r="G300" s="75" t="s">
        <v>2134</v>
      </c>
    </row>
    <row r="301" spans="1:7">
      <c r="A301" s="16"/>
      <c r="B301" s="16" t="str">
        <f t="shared" si="8"/>
        <v>Profilblech Verbunddecke, gedämmt (SIA 2032)</v>
      </c>
      <c r="C301" s="75" t="s">
        <v>1834</v>
      </c>
      <c r="D301" s="75" t="s">
        <v>1835</v>
      </c>
      <c r="E301" s="75" t="s">
        <v>1836</v>
      </c>
      <c r="F301" s="75" t="s">
        <v>1837</v>
      </c>
      <c r="G301" s="75" t="s">
        <v>2147</v>
      </c>
    </row>
    <row r="302" spans="1:7">
      <c r="A302" s="16"/>
      <c r="B302" s="16" t="str">
        <f t="shared" si="8"/>
        <v>Holzdecke mit unterer Gipsbekleidung, gedämmt (SIA 2032)</v>
      </c>
      <c r="C302" s="75" t="s">
        <v>1838</v>
      </c>
      <c r="D302" s="75" t="s">
        <v>1839</v>
      </c>
      <c r="E302" s="75" t="s">
        <v>1840</v>
      </c>
      <c r="F302" s="75" t="s">
        <v>1841</v>
      </c>
      <c r="G302" s="75" t="s">
        <v>2144</v>
      </c>
    </row>
    <row r="303" spans="1:7">
      <c r="A303" s="16"/>
      <c r="B303" s="16" t="str">
        <f t="shared" si="8"/>
        <v>Holzkonstruktion geneigtes Dach, gedämmt (SIA 2032)</v>
      </c>
      <c r="C303" s="75" t="s">
        <v>1826</v>
      </c>
      <c r="D303" s="75" t="s">
        <v>1831</v>
      </c>
      <c r="E303" s="75" t="s">
        <v>1827</v>
      </c>
      <c r="F303" s="75" t="s">
        <v>1828</v>
      </c>
      <c r="G303" s="75" t="s">
        <v>2145</v>
      </c>
    </row>
    <row r="304" spans="1:7">
      <c r="A304" s="16"/>
      <c r="B304" s="16" t="str">
        <f t="shared" si="8"/>
        <v>Mittelwert Innenwand tragend (mit Innenputz) (SIA 2032)</v>
      </c>
      <c r="C304" s="75" t="s">
        <v>793</v>
      </c>
      <c r="D304" s="75" t="s">
        <v>1516</v>
      </c>
      <c r="E304" s="75" t="s">
        <v>1545</v>
      </c>
      <c r="F304" s="75" t="s">
        <v>1492</v>
      </c>
      <c r="G304" s="75" t="s">
        <v>2104</v>
      </c>
    </row>
    <row r="305" spans="1:7">
      <c r="A305" s="16"/>
      <c r="B305" s="16" t="str">
        <f t="shared" si="8"/>
        <v>Mittelwert Innenwand nicht tragend (mit Innenputz) (SIA 2032)</v>
      </c>
      <c r="C305" s="75" t="s">
        <v>794</v>
      </c>
      <c r="D305" s="75" t="s">
        <v>1517</v>
      </c>
      <c r="E305" s="75" t="s">
        <v>1546</v>
      </c>
      <c r="F305" s="75" t="s">
        <v>1493</v>
      </c>
      <c r="G305" s="75" t="s">
        <v>2103</v>
      </c>
    </row>
    <row r="306" spans="1:7">
      <c r="A306" s="16"/>
      <c r="B306" s="16" t="str">
        <f t="shared" si="8"/>
        <v>Betondecke 25 cm mit Innenputz (SIA 2032)</v>
      </c>
      <c r="C306" s="75" t="s">
        <v>772</v>
      </c>
      <c r="D306" s="75" t="s">
        <v>1518</v>
      </c>
      <c r="E306" s="75" t="s">
        <v>1547</v>
      </c>
      <c r="F306" s="75" t="s">
        <v>1494</v>
      </c>
      <c r="G306" s="75" t="s">
        <v>2119</v>
      </c>
    </row>
    <row r="307" spans="1:7">
      <c r="A307" s="16"/>
      <c r="B307" s="16" t="str">
        <f t="shared" si="8"/>
        <v>Holzelementdecke (mit unterer Gipsbekleidung) (SIA 2032)</v>
      </c>
      <c r="C307" s="75" t="s">
        <v>773</v>
      </c>
      <c r="D307" s="75" t="s">
        <v>1519</v>
      </c>
      <c r="E307" s="75" t="s">
        <v>1548</v>
      </c>
      <c r="F307" s="75" t="s">
        <v>1495</v>
      </c>
      <c r="G307" s="75" t="s">
        <v>2126</v>
      </c>
    </row>
    <row r="308" spans="1:7">
      <c r="A308" s="16"/>
      <c r="B308" s="16" t="str">
        <f t="shared" si="8"/>
        <v>Holzbetonverbund (mit unterer Gipsbekleidung) (SIA 2032)</v>
      </c>
      <c r="C308" s="75" t="s">
        <v>774</v>
      </c>
      <c r="D308" s="75" t="s">
        <v>1520</v>
      </c>
      <c r="E308" s="75" t="s">
        <v>1549</v>
      </c>
      <c r="F308" s="75" t="s">
        <v>1496</v>
      </c>
      <c r="G308" s="75" t="s">
        <v>2124</v>
      </c>
    </row>
    <row r="309" spans="1:7">
      <c r="A309" s="16"/>
      <c r="B309" s="16" t="str">
        <f t="shared" si="8"/>
        <v>Fertiger Bodenbelag (ohne Unterkonstruktion) (SIA 2032)</v>
      </c>
      <c r="C309" s="75" t="s">
        <v>775</v>
      </c>
      <c r="D309" s="75" t="s">
        <v>1521</v>
      </c>
      <c r="E309" s="75" t="s">
        <v>1550</v>
      </c>
      <c r="F309" s="75" t="s">
        <v>1497</v>
      </c>
      <c r="G309" s="75" t="s">
        <v>2198</v>
      </c>
    </row>
    <row r="310" spans="1:7">
      <c r="A310" s="16"/>
      <c r="B310" s="16" t="str">
        <f t="shared" si="8"/>
        <v>Unterkonstruktion und Bodenbelag (SIA 2032)</v>
      </c>
      <c r="C310" s="75" t="s">
        <v>776</v>
      </c>
      <c r="D310" s="75" t="s">
        <v>1522</v>
      </c>
      <c r="E310" s="75" t="s">
        <v>1551</v>
      </c>
      <c r="F310" s="75" t="s">
        <v>1498</v>
      </c>
      <c r="G310" s="75" t="s">
        <v>2199</v>
      </c>
    </row>
    <row r="311" spans="1:7">
      <c r="A311" s="16"/>
      <c r="B311" s="16" t="str">
        <f t="shared" si="8"/>
        <v>Dämmung gegen unbeheizt (SIA 2032)</v>
      </c>
      <c r="C311" s="75" t="s">
        <v>777</v>
      </c>
      <c r="D311" s="75" t="s">
        <v>1523</v>
      </c>
      <c r="E311" s="75" t="s">
        <v>1552</v>
      </c>
      <c r="F311" s="75" t="s">
        <v>1499</v>
      </c>
      <c r="G311" s="75" t="s">
        <v>2197</v>
      </c>
    </row>
    <row r="312" spans="1:7">
      <c r="A312" s="16"/>
      <c r="B312" s="16" t="str">
        <f t="shared" si="8"/>
        <v>Abgehängte Installationsdecke (Mittelwert) (SIA 2032)</v>
      </c>
      <c r="C312" s="75" t="s">
        <v>778</v>
      </c>
      <c r="D312" s="75" t="s">
        <v>1524</v>
      </c>
      <c r="E312" s="75" t="s">
        <v>1553</v>
      </c>
      <c r="F312" s="75" t="s">
        <v>1500</v>
      </c>
      <c r="G312" s="75" t="s">
        <v>2196</v>
      </c>
    </row>
    <row r="313" spans="1:7">
      <c r="A313" s="16"/>
      <c r="B313" s="16" t="str">
        <f t="shared" ref="B313:B327" si="9">INDEX($C313:$F313,1,MATCH(Sprachwahl,ListSprache,0))</f>
        <v>Balkon inkl. Absturzsicherung (SIA 2032)</v>
      </c>
      <c r="C313" s="75" t="s">
        <v>779</v>
      </c>
      <c r="D313" s="75" t="s">
        <v>1525</v>
      </c>
      <c r="E313" s="75" t="s">
        <v>1554</v>
      </c>
      <c r="F313" s="75" t="s">
        <v>1501</v>
      </c>
      <c r="G313" s="75" t="s">
        <v>2132</v>
      </c>
    </row>
    <row r="314" spans="1:7">
      <c r="A314" s="16"/>
      <c r="B314" s="16" t="str">
        <f t="shared" si="9"/>
        <v>Elektroanlage Wohnen (SIA 2032)</v>
      </c>
      <c r="C314" s="75" t="s">
        <v>780</v>
      </c>
      <c r="D314" s="75" t="s">
        <v>1526</v>
      </c>
      <c r="E314" s="75" t="s">
        <v>1555</v>
      </c>
      <c r="F314" s="75" t="s">
        <v>1502</v>
      </c>
      <c r="G314" s="75" t="s">
        <v>2153</v>
      </c>
    </row>
    <row r="315" spans="1:7">
      <c r="A315" s="16"/>
      <c r="B315" s="16" t="str">
        <f t="shared" si="9"/>
        <v>Elektroanlage Büro (SIA 2032)</v>
      </c>
      <c r="C315" s="75" t="s">
        <v>781</v>
      </c>
      <c r="D315" s="75" t="s">
        <v>1527</v>
      </c>
      <c r="E315" s="75" t="s">
        <v>1556</v>
      </c>
      <c r="F315" s="75" t="s">
        <v>1503</v>
      </c>
      <c r="G315" s="75" t="s">
        <v>2152</v>
      </c>
    </row>
    <row r="316" spans="1:7">
      <c r="A316" s="16"/>
      <c r="B316" s="16" t="str">
        <f t="shared" si="9"/>
        <v>Solarstromanlage (1 m2 = 0.14 kWp) (SIA 2032)</v>
      </c>
      <c r="C316" s="75" t="s">
        <v>782</v>
      </c>
      <c r="D316" s="75" t="s">
        <v>1528</v>
      </c>
      <c r="E316" s="75" t="s">
        <v>1557</v>
      </c>
      <c r="F316" s="75" t="s">
        <v>1504</v>
      </c>
      <c r="G316" s="75" t="s">
        <v>2174</v>
      </c>
    </row>
    <row r="317" spans="1:7">
      <c r="A317" s="16"/>
      <c r="B317" s="16" t="str">
        <f t="shared" si="9"/>
        <v>Wärmeerzeugung (SIA 2032)</v>
      </c>
      <c r="C317" s="75" t="s">
        <v>783</v>
      </c>
      <c r="D317" s="75" t="s">
        <v>1529</v>
      </c>
      <c r="E317" s="75" t="s">
        <v>1558</v>
      </c>
      <c r="F317" s="75" t="s">
        <v>1505</v>
      </c>
      <c r="G317" s="75" t="s">
        <v>2184</v>
      </c>
    </row>
    <row r="318" spans="1:7">
      <c r="A318" s="16"/>
      <c r="B318" s="16" t="str">
        <f t="shared" si="9"/>
        <v>Wärmeverteilung und -Abgabe Wohnen (SIA 2032)</v>
      </c>
      <c r="C318" s="75" t="s">
        <v>784</v>
      </c>
      <c r="D318" s="75" t="s">
        <v>1573</v>
      </c>
      <c r="E318" s="75" t="s">
        <v>1574</v>
      </c>
      <c r="F318" s="75" t="s">
        <v>1590</v>
      </c>
      <c r="G318" s="75" t="s">
        <v>2187</v>
      </c>
    </row>
    <row r="319" spans="1:7">
      <c r="A319" s="16"/>
      <c r="B319" s="16" t="str">
        <f t="shared" si="9"/>
        <v>Wärmeverteilung und -Abgabe Büro (SIA 2032)</v>
      </c>
      <c r="C319" s="75" t="s">
        <v>785</v>
      </c>
      <c r="D319" s="75" t="s">
        <v>1576</v>
      </c>
      <c r="E319" s="75" t="s">
        <v>1575</v>
      </c>
      <c r="F319" s="75" t="s">
        <v>1591</v>
      </c>
      <c r="G319" s="75" t="s">
        <v>2186</v>
      </c>
    </row>
    <row r="320" spans="1:7">
      <c r="A320" s="16"/>
      <c r="B320" s="16" t="str">
        <f t="shared" si="9"/>
        <v>Erdwärmesonden (SIA 2032)</v>
      </c>
      <c r="C320" s="75" t="s">
        <v>786</v>
      </c>
      <c r="D320" s="75" t="s">
        <v>1530</v>
      </c>
      <c r="E320" s="75" t="s">
        <v>1559</v>
      </c>
      <c r="F320" s="75" t="s">
        <v>1506</v>
      </c>
      <c r="G320" s="75" t="s">
        <v>2157</v>
      </c>
    </row>
    <row r="321" spans="1:7">
      <c r="A321" s="16"/>
      <c r="B321" s="16" t="str">
        <f t="shared" si="9"/>
        <v>Solarkollektoren (SIA 2032)</v>
      </c>
      <c r="C321" s="75" t="s">
        <v>787</v>
      </c>
      <c r="D321" s="75" t="s">
        <v>1531</v>
      </c>
      <c r="E321" s="75" t="s">
        <v>1560</v>
      </c>
      <c r="F321" s="75" t="s">
        <v>1507</v>
      </c>
      <c r="G321" s="75" t="s">
        <v>2173</v>
      </c>
    </row>
    <row r="322" spans="1:7">
      <c r="A322" s="16"/>
      <c r="B322" s="16" t="str">
        <f t="shared" si="9"/>
        <v>Abluftanlage Küche und Bad (SIA 2032)</v>
      </c>
      <c r="C322" s="75" t="s">
        <v>788</v>
      </c>
      <c r="D322" s="75" t="s">
        <v>1532</v>
      </c>
      <c r="E322" s="75" t="s">
        <v>1561</v>
      </c>
      <c r="F322" s="75" t="s">
        <v>1585</v>
      </c>
      <c r="G322" s="75" t="s">
        <v>2150</v>
      </c>
    </row>
    <row r="323" spans="1:7">
      <c r="A323" s="16"/>
      <c r="B323" s="16" t="str">
        <f t="shared" si="9"/>
        <v>Lüftungsanlage Wohnen (SIA 2032)</v>
      </c>
      <c r="C323" s="75" t="s">
        <v>789</v>
      </c>
      <c r="D323" s="75" t="s">
        <v>1577</v>
      </c>
      <c r="E323" s="75" t="s">
        <v>1582</v>
      </c>
      <c r="F323" s="75" t="s">
        <v>1586</v>
      </c>
      <c r="G323" s="75" t="s">
        <v>2164</v>
      </c>
    </row>
    <row r="324" spans="1:7">
      <c r="A324" s="16"/>
      <c r="B324" s="16" t="str">
        <f t="shared" si="9"/>
        <v>Lüftungsanlage Büro (SIA 2032)</v>
      </c>
      <c r="C324" s="75" t="s">
        <v>790</v>
      </c>
      <c r="D324" s="75" t="s">
        <v>1578</v>
      </c>
      <c r="E324" s="75" t="s">
        <v>1581</v>
      </c>
      <c r="F324" s="75" t="s">
        <v>1587</v>
      </c>
      <c r="G324" s="75" t="s">
        <v>2162</v>
      </c>
    </row>
    <row r="325" spans="1:7">
      <c r="A325" s="16"/>
      <c r="B325" s="16" t="str">
        <f t="shared" si="9"/>
        <v>Sanitäranlage Wohnen (SIA 2032)</v>
      </c>
      <c r="C325" s="75" t="s">
        <v>791</v>
      </c>
      <c r="D325" s="75" t="s">
        <v>1579</v>
      </c>
      <c r="E325" s="75" t="s">
        <v>1583</v>
      </c>
      <c r="F325" s="75" t="s">
        <v>1588</v>
      </c>
      <c r="G325" s="75" t="s">
        <v>2169</v>
      </c>
    </row>
    <row r="326" spans="1:7">
      <c r="A326" s="16"/>
      <c r="B326" s="16" t="str">
        <f t="shared" si="9"/>
        <v>Sanitäranlage Büro (SIA 2032)</v>
      </c>
      <c r="C326" s="75" t="s">
        <v>792</v>
      </c>
      <c r="D326" s="75" t="s">
        <v>1580</v>
      </c>
      <c r="E326" s="75" t="s">
        <v>1584</v>
      </c>
      <c r="F326" s="75" t="s">
        <v>1589</v>
      </c>
      <c r="G326" s="75" t="s">
        <v>2168</v>
      </c>
    </row>
    <row r="327" spans="1:7">
      <c r="A327" s="16"/>
      <c r="B327" s="16" t="str">
        <f t="shared" si="9"/>
        <v>Holzkonstruktion geneigtes Dach, ungedämmt (SIA 2032)</v>
      </c>
      <c r="C327" s="75" t="s">
        <v>1829</v>
      </c>
      <c r="D327" s="75" t="s">
        <v>1830</v>
      </c>
      <c r="E327" s="75" t="s">
        <v>1832</v>
      </c>
      <c r="F327" s="75" t="s">
        <v>1833</v>
      </c>
      <c r="G327" s="75" t="s">
        <v>2146</v>
      </c>
    </row>
    <row r="328" spans="1:7">
      <c r="A328" s="16"/>
      <c r="B328" s="16"/>
      <c r="C328" s="5"/>
      <c r="D328" s="17"/>
    </row>
    <row r="329" spans="1:7">
      <c r="A329" s="16"/>
      <c r="B329" s="16"/>
      <c r="D329" s="17"/>
    </row>
    <row r="330" spans="1:7">
      <c r="A330" s="16" t="s">
        <v>223</v>
      </c>
      <c r="B330" s="16" t="str">
        <f t="shared" ref="B330:B352" si="10">INDEX($C330:$F330,1,MATCH(Sprachwahl,ListSprache,0))</f>
        <v>Bodenplatte, Innensanierung mit Zementüberzug, 14cm XPS (BTK)</v>
      </c>
      <c r="C330" s="8" t="s">
        <v>700</v>
      </c>
      <c r="D330" s="8" t="s">
        <v>1229</v>
      </c>
      <c r="E330" s="8" t="s">
        <v>997</v>
      </c>
      <c r="F330" s="8" t="s">
        <v>1644</v>
      </c>
      <c r="G330" s="8" t="s">
        <v>2066</v>
      </c>
    </row>
    <row r="331" spans="1:7">
      <c r="A331" s="16"/>
      <c r="B331" s="16" t="str">
        <f t="shared" si="10"/>
        <v>Kompaktfassade auf Mauerwerk, 20cm EPS (BTK)</v>
      </c>
      <c r="C331" s="36" t="s">
        <v>701</v>
      </c>
      <c r="D331" s="8" t="s">
        <v>1230</v>
      </c>
      <c r="E331" s="8" t="s">
        <v>998</v>
      </c>
      <c r="F331" s="8" t="s">
        <v>1645</v>
      </c>
      <c r="G331" s="8" t="s">
        <v>2079</v>
      </c>
    </row>
    <row r="332" spans="1:7">
      <c r="A332" s="16"/>
      <c r="B332" s="16" t="str">
        <f t="shared" si="10"/>
        <v>Hinterlüftete Aussenwärmedämmung auf Mauerwerk, 20cm Steinwolle (BTK)</v>
      </c>
      <c r="C332" s="8" t="s">
        <v>702</v>
      </c>
      <c r="D332" s="8" t="s">
        <v>1231</v>
      </c>
      <c r="E332" s="8" t="s">
        <v>999</v>
      </c>
      <c r="F332" s="8" t="s">
        <v>1646</v>
      </c>
      <c r="G332" s="8" t="s">
        <v>2077</v>
      </c>
    </row>
    <row r="333" spans="1:7">
      <c r="A333" s="16"/>
      <c r="B333" s="16" t="str">
        <f t="shared" si="10"/>
        <v>Innendämmung mit Verkleidung auf Mauerwerk, 22cm Steinwolle (BTK)</v>
      </c>
      <c r="C333" s="8" t="s">
        <v>703</v>
      </c>
      <c r="D333" s="8" t="s">
        <v>1232</v>
      </c>
      <c r="E333" s="8" t="s">
        <v>1000</v>
      </c>
      <c r="F333" s="8" t="s">
        <v>1647</v>
      </c>
      <c r="G333" s="8" t="s">
        <v>2078</v>
      </c>
    </row>
    <row r="334" spans="1:7">
      <c r="A334" s="16"/>
      <c r="B334" s="16" t="str">
        <f t="shared" si="10"/>
        <v>Aussensanierung auf Mauerwerk zu unbeheizt (BTK)</v>
      </c>
      <c r="C334" s="8" t="s">
        <v>704</v>
      </c>
      <c r="D334" s="8" t="s">
        <v>1233</v>
      </c>
      <c r="E334" s="8" t="s">
        <v>1001</v>
      </c>
      <c r="F334" s="8" t="s">
        <v>1654</v>
      </c>
      <c r="G334" s="8" t="s">
        <v>2076</v>
      </c>
    </row>
    <row r="335" spans="1:7">
      <c r="A335" s="16"/>
      <c r="B335" s="16" t="str">
        <f t="shared" si="10"/>
        <v>Aussendämmung auf Betondecke zu unbeheizt (BTK)</v>
      </c>
      <c r="C335" s="8" t="s">
        <v>705</v>
      </c>
      <c r="D335" s="8" t="s">
        <v>1234</v>
      </c>
      <c r="E335" s="8" t="s">
        <v>1002</v>
      </c>
      <c r="F335" s="8" t="s">
        <v>1655</v>
      </c>
      <c r="G335" s="8" t="s">
        <v>2111</v>
      </c>
    </row>
    <row r="336" spans="1:7">
      <c r="A336" s="16"/>
      <c r="B336" s="16" t="str">
        <f t="shared" si="10"/>
        <v>Innendämmung mit Deckenverkleidung unter gedämmter Betondecke zu unbeheizt (BTK)</v>
      </c>
      <c r="C336" s="8" t="s">
        <v>706</v>
      </c>
      <c r="D336" s="8" t="s">
        <v>1235</v>
      </c>
      <c r="E336" s="8" t="s">
        <v>1003</v>
      </c>
      <c r="F336" s="8" t="s">
        <v>1656</v>
      </c>
      <c r="G336" s="8" t="s">
        <v>2127</v>
      </c>
    </row>
    <row r="337" spans="1:7">
      <c r="A337" s="16"/>
      <c r="B337" s="16" t="str">
        <f t="shared" si="10"/>
        <v>Kerndämmung Balkendecke zu unbeheizt (BTK)</v>
      </c>
      <c r="C337" s="8" t="s">
        <v>707</v>
      </c>
      <c r="D337" s="8" t="s">
        <v>1236</v>
      </c>
      <c r="E337" s="8" t="s">
        <v>1004</v>
      </c>
      <c r="F337" s="8" t="s">
        <v>1657</v>
      </c>
      <c r="G337" s="8" t="s">
        <v>2129</v>
      </c>
    </row>
    <row r="338" spans="1:7">
      <c r="A338" s="16"/>
      <c r="B338" s="16" t="str">
        <f t="shared" si="10"/>
        <v>Innendämmung unter Balkendecke mit Schlackenfüllung zu unbeheizt (BTK)</v>
      </c>
      <c r="C338" s="8" t="s">
        <v>708</v>
      </c>
      <c r="D338" s="8" t="s">
        <v>1237</v>
      </c>
      <c r="E338" s="8" t="s">
        <v>1005</v>
      </c>
      <c r="F338" s="8" t="s">
        <v>1658</v>
      </c>
      <c r="G338" s="8" t="s">
        <v>2128</v>
      </c>
    </row>
    <row r="339" spans="1:7">
      <c r="A339" s="16"/>
      <c r="B339" s="16" t="str">
        <f t="shared" si="10"/>
        <v>Innendämmung auf gedämmter Balkendecke zu unbeheizt, 16cm Steinwolle (BTK)</v>
      </c>
      <c r="C339" s="8" t="s">
        <v>709</v>
      </c>
      <c r="D339" s="8" t="s">
        <v>1238</v>
      </c>
      <c r="E339" s="8" t="s">
        <v>1006</v>
      </c>
      <c r="F339" s="8" t="s">
        <v>1648</v>
      </c>
      <c r="G339" s="8" t="s">
        <v>2126</v>
      </c>
    </row>
    <row r="340" spans="1:7">
      <c r="A340" s="16"/>
      <c r="B340" s="16" t="str">
        <f t="shared" si="10"/>
        <v>Doppeldach auf Betondecke (BTK)</v>
      </c>
      <c r="C340" s="8" t="s">
        <v>710</v>
      </c>
      <c r="D340" s="8" t="s">
        <v>1239</v>
      </c>
      <c r="E340" s="8" t="s">
        <v>1007</v>
      </c>
      <c r="F340" s="8" t="s">
        <v>1649</v>
      </c>
      <c r="G340" s="8" t="s">
        <v>2134</v>
      </c>
    </row>
    <row r="341" spans="1:7">
      <c r="A341" s="16"/>
      <c r="B341" s="16" t="str">
        <f t="shared" si="10"/>
        <v>Umkehrdach / Plusdach auf Betondecke, 22cm XPS (BTK)</v>
      </c>
      <c r="C341" s="8" t="s">
        <v>711</v>
      </c>
      <c r="D341" s="8" t="s">
        <v>1240</v>
      </c>
      <c r="E341" s="8" t="s">
        <v>1008</v>
      </c>
      <c r="F341" s="8" t="s">
        <v>1650</v>
      </c>
      <c r="G341" s="8" t="s">
        <v>2137</v>
      </c>
    </row>
    <row r="342" spans="1:7">
      <c r="A342" s="16"/>
      <c r="B342" s="16" t="str">
        <f t="shared" si="10"/>
        <v>Doppeldach begehbar auf Betondecke (BTK)</v>
      </c>
      <c r="C342" s="8" t="s">
        <v>712</v>
      </c>
      <c r="D342" s="8" t="s">
        <v>1241</v>
      </c>
      <c r="E342" s="8" t="s">
        <v>1009</v>
      </c>
      <c r="F342" s="8" t="s">
        <v>1651</v>
      </c>
      <c r="G342" s="8" t="s">
        <v>2135</v>
      </c>
    </row>
    <row r="343" spans="1:7">
      <c r="A343" s="16"/>
      <c r="B343" s="16" t="str">
        <f t="shared" si="10"/>
        <v>Aussensanierung ungedämmtes Steildach (BTK)</v>
      </c>
      <c r="C343" s="8" t="s">
        <v>713</v>
      </c>
      <c r="D343" s="8" t="s">
        <v>1242</v>
      </c>
      <c r="E343" s="8" t="s">
        <v>1010</v>
      </c>
      <c r="F343" s="8" t="s">
        <v>1652</v>
      </c>
      <c r="G343" s="8" t="s">
        <v>2133</v>
      </c>
    </row>
    <row r="344" spans="1:7">
      <c r="A344" s="16"/>
      <c r="B344" s="16" t="str">
        <f t="shared" si="10"/>
        <v>Kernsanierung ungedämmtes Steildach (BTK)</v>
      </c>
      <c r="C344" s="8" t="s">
        <v>714</v>
      </c>
      <c r="D344" s="8" t="s">
        <v>1243</v>
      </c>
      <c r="E344" s="8" t="s">
        <v>1011</v>
      </c>
      <c r="F344" s="8" t="s">
        <v>1653</v>
      </c>
      <c r="G344" s="8" t="s">
        <v>2136</v>
      </c>
    </row>
    <row r="345" spans="1:7">
      <c r="A345" s="16"/>
      <c r="B345" s="16" t="str">
        <f t="shared" si="10"/>
        <v>Dummy RD21</v>
      </c>
      <c r="C345" s="5" t="s">
        <v>691</v>
      </c>
      <c r="D345" s="17"/>
    </row>
    <row r="346" spans="1:7">
      <c r="A346" s="16"/>
      <c r="B346" s="16" t="str">
        <f t="shared" si="10"/>
        <v>Dummy RD22</v>
      </c>
      <c r="C346" s="5" t="s">
        <v>692</v>
      </c>
      <c r="D346" s="17"/>
    </row>
    <row r="347" spans="1:7">
      <c r="A347" s="16"/>
      <c r="B347" s="16" t="str">
        <f t="shared" si="10"/>
        <v>Dummy RD23</v>
      </c>
      <c r="C347" s="5" t="s">
        <v>693</v>
      </c>
      <c r="D347" s="17"/>
    </row>
    <row r="348" spans="1:7">
      <c r="A348" s="16"/>
      <c r="B348" s="16" t="str">
        <f t="shared" si="10"/>
        <v>Dummy RD24</v>
      </c>
      <c r="C348" s="5" t="s">
        <v>694</v>
      </c>
      <c r="D348" s="17"/>
    </row>
    <row r="349" spans="1:7">
      <c r="A349" s="16"/>
      <c r="B349" s="16" t="str">
        <f t="shared" si="10"/>
        <v>Dummy RD25</v>
      </c>
      <c r="C349" s="5" t="s">
        <v>695</v>
      </c>
      <c r="D349" s="17"/>
    </row>
    <row r="350" spans="1:7">
      <c r="A350" s="16"/>
      <c r="B350" s="16" t="str">
        <f t="shared" si="10"/>
        <v>Dummy RD26</v>
      </c>
      <c r="C350" s="5" t="s">
        <v>696</v>
      </c>
      <c r="D350" s="17"/>
    </row>
    <row r="351" spans="1:7">
      <c r="A351" s="16"/>
      <c r="B351" s="16" t="str">
        <f t="shared" si="10"/>
        <v>Dummy RD27</v>
      </c>
      <c r="C351" s="5" t="s">
        <v>697</v>
      </c>
      <c r="D351" s="17"/>
    </row>
    <row r="352" spans="1:7">
      <c r="A352" s="16"/>
      <c r="B352" s="16" t="str">
        <f t="shared" si="10"/>
        <v>Dummy RD28</v>
      </c>
      <c r="C352" s="5" t="s">
        <v>698</v>
      </c>
      <c r="D352" s="17"/>
    </row>
    <row r="353" spans="1:6">
      <c r="A353" s="16"/>
      <c r="B353" s="16" t="str">
        <f t="shared" ref="B353:B359" si="11">INDEX($C353:$F353,1,MATCH(Sprachwahl,ListSprache,0))</f>
        <v>Dummy RD29</v>
      </c>
      <c r="C353" s="5" t="s">
        <v>699</v>
      </c>
      <c r="D353" s="17"/>
    </row>
    <row r="354" spans="1:6">
      <c r="A354" s="16"/>
      <c r="B354" s="16" t="str">
        <f t="shared" si="11"/>
        <v>Dummy RD30</v>
      </c>
      <c r="C354" s="5" t="s">
        <v>224</v>
      </c>
      <c r="D354" s="17"/>
    </row>
    <row r="355" spans="1:6">
      <c r="A355" s="16"/>
      <c r="B355" s="16" t="str">
        <f t="shared" si="11"/>
        <v>Dummy RD31</v>
      </c>
      <c r="C355" s="5" t="s">
        <v>225</v>
      </c>
      <c r="D355" s="17"/>
    </row>
    <row r="356" spans="1:6">
      <c r="A356" s="16"/>
      <c r="B356" s="16" t="str">
        <f t="shared" si="11"/>
        <v>Dummy RD32</v>
      </c>
      <c r="C356" s="5" t="s">
        <v>226</v>
      </c>
      <c r="D356" s="17"/>
    </row>
    <row r="357" spans="1:6">
      <c r="A357" s="16"/>
      <c r="B357" s="16" t="str">
        <f t="shared" si="11"/>
        <v>Dummy RD33</v>
      </c>
      <c r="C357" s="5" t="s">
        <v>227</v>
      </c>
      <c r="D357" s="17"/>
    </row>
    <row r="358" spans="1:6">
      <c r="A358" s="16"/>
      <c r="B358" s="16" t="str">
        <f t="shared" si="11"/>
        <v>Dummy RD34</v>
      </c>
      <c r="C358" s="5" t="s">
        <v>228</v>
      </c>
      <c r="D358" s="17"/>
    </row>
    <row r="359" spans="1:6">
      <c r="A359" s="16"/>
      <c r="B359" s="16" t="str">
        <f t="shared" si="11"/>
        <v>Dummy RD35</v>
      </c>
      <c r="C359" s="5" t="s">
        <v>229</v>
      </c>
      <c r="D359" s="17"/>
    </row>
    <row r="360" spans="1:6">
      <c r="A360" s="16"/>
      <c r="B360" s="16"/>
      <c r="D360" s="17"/>
    </row>
    <row r="361" spans="1:6" ht="13">
      <c r="A361" s="10" t="s">
        <v>54</v>
      </c>
      <c r="B361" s="10"/>
      <c r="C361" s="10"/>
      <c r="D361" s="61"/>
      <c r="E361" s="10"/>
      <c r="F361" s="10"/>
    </row>
    <row r="362" spans="1:6" ht="13">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gut erfüllt</v>
      </c>
      <c r="C363" s="5" t="s">
        <v>32</v>
      </c>
      <c r="D363" s="17" t="s">
        <v>71</v>
      </c>
      <c r="E363" s="8" t="s">
        <v>1012</v>
      </c>
      <c r="F363" s="8" t="s">
        <v>134</v>
      </c>
    </row>
    <row r="364" spans="1:6">
      <c r="A364" s="16"/>
      <c r="B364" s="16" t="str">
        <f>INDEX($C364:$F364,1,MATCH(Sprachwahl,ListSprache,0))</f>
        <v>erfüllt</v>
      </c>
      <c r="C364" s="5" t="s">
        <v>33</v>
      </c>
      <c r="D364" s="17" t="s">
        <v>69</v>
      </c>
      <c r="E364" s="8" t="s">
        <v>1013</v>
      </c>
      <c r="F364" s="8" t="s">
        <v>135</v>
      </c>
    </row>
    <row r="365" spans="1:6">
      <c r="A365" s="16"/>
      <c r="B365" s="16" t="str">
        <f>INDEX($C365:$F365,1,MATCH(Sprachwahl,ListSprache,0))</f>
        <v>nicht erfüllt</v>
      </c>
      <c r="C365" s="5" t="s">
        <v>34</v>
      </c>
      <c r="D365" s="17" t="s">
        <v>70</v>
      </c>
      <c r="E365" s="8" t="s">
        <v>1014</v>
      </c>
      <c r="F365" s="8" t="s">
        <v>136</v>
      </c>
    </row>
    <row r="366" spans="1:6">
      <c r="A366" s="16"/>
      <c r="B366" s="16"/>
      <c r="D366" s="17"/>
    </row>
    <row r="367" spans="1:6">
      <c r="A367" s="16" t="s">
        <v>325</v>
      </c>
      <c r="B367" s="16" t="str">
        <f>INDEX($C367:$F367,1,MATCH(Sprachwahl,ListSprache,0))</f>
        <v>Keine Grenzwerte definiert</v>
      </c>
      <c r="C367" s="8" t="s">
        <v>326</v>
      </c>
      <c r="D367" s="17" t="s">
        <v>1244</v>
      </c>
      <c r="E367" s="8" t="s">
        <v>719</v>
      </c>
      <c r="F367" s="8" t="s">
        <v>718</v>
      </c>
    </row>
    <row r="368" spans="1:6">
      <c r="A368" s="16"/>
      <c r="B368" s="16" t="str">
        <f>INDEX($C368:$F368,1,MATCH(Sprachwahl,ListSprache,0))</f>
        <v>Minergie-Eco Grenzwert</v>
      </c>
      <c r="C368" s="8" t="s">
        <v>1722</v>
      </c>
      <c r="D368" s="17" t="s">
        <v>1723</v>
      </c>
      <c r="E368" s="8" t="s">
        <v>1724</v>
      </c>
      <c r="F368" s="8" t="s">
        <v>1725</v>
      </c>
    </row>
    <row r="369" spans="1:6">
      <c r="A369" s="16"/>
      <c r="B369" s="16" t="str">
        <f>INDEX($C369:$F369,1,MATCH(Sprachwahl,ListSprache,0))</f>
        <v>Zielwert</v>
      </c>
      <c r="C369" s="8" t="s">
        <v>327</v>
      </c>
      <c r="D369" s="17" t="s">
        <v>720</v>
      </c>
      <c r="E369" s="8" t="s">
        <v>1015</v>
      </c>
      <c r="F369" s="8" t="s">
        <v>717</v>
      </c>
    </row>
    <row r="370" spans="1:6">
      <c r="A370" s="16"/>
      <c r="B370" s="16" t="str">
        <f>INDEX($C370:$F370,1,MATCH(Sprachwahl,ListSprache,0))</f>
        <v>SNBS Grenzwerte siehe SNBS Manual</v>
      </c>
      <c r="C370" s="8" t="s">
        <v>1763</v>
      </c>
      <c r="D370" s="17" t="s">
        <v>1766</v>
      </c>
      <c r="E370" s="8" t="s">
        <v>1764</v>
      </c>
      <c r="F370" s="8" t="s">
        <v>1765</v>
      </c>
    </row>
    <row r="371" spans="1:6">
      <c r="A371" s="16"/>
      <c r="B371" s="16"/>
      <c r="D371" s="17"/>
    </row>
    <row r="372" spans="1:6">
      <c r="A372" s="16" t="s">
        <v>62</v>
      </c>
      <c r="B372" s="16" t="str">
        <f>INDEX($C372:$F372,1,MATCH(Sprachwahl,ListSprache,0))</f>
        <v>Neubau</v>
      </c>
      <c r="C372" s="8" t="s">
        <v>4</v>
      </c>
      <c r="D372" s="17" t="s">
        <v>1245</v>
      </c>
      <c r="E372" s="8" t="s">
        <v>1016</v>
      </c>
      <c r="F372" s="8" t="s">
        <v>10</v>
      </c>
    </row>
    <row r="373" spans="1:6">
      <c r="A373" s="16"/>
      <c r="B373" s="16" t="str">
        <f>INDEX($C373:$F373,1,MATCH(Sprachwahl,ListSprache,0))</f>
        <v>Modernisierung</v>
      </c>
      <c r="C373" s="8" t="s">
        <v>7</v>
      </c>
      <c r="D373" s="17" t="s">
        <v>1246</v>
      </c>
      <c r="E373" s="8" t="s">
        <v>97</v>
      </c>
      <c r="F373" s="8" t="s">
        <v>11</v>
      </c>
    </row>
    <row r="374" spans="1:6">
      <c r="A374" s="16"/>
      <c r="B374" s="16"/>
      <c r="D374" s="17"/>
    </row>
    <row r="375" spans="1:6">
      <c r="A375" s="16" t="s">
        <v>63</v>
      </c>
      <c r="B375" s="16" t="str">
        <f>INDEX($C375:$F375,1,MATCH(Sprachwahl,ListSprache,0))</f>
        <v>Bitte zuerst Tabelle 'Fragenkatalog_Modernisierung' vollständig ausfüllen.</v>
      </c>
      <c r="C375" s="8" t="str">
        <f>"Bitte zuerst Tabelle '"&amp;SheetQuestionaire&amp;"' vollständig ausfüllen."</f>
        <v>Bitte zuerst Tabelle 'Fragenkatalog_Modernisierung' vollständig ausfüllen.</v>
      </c>
      <c r="D375" s="17" t="str">
        <f>"Remplir en premier la feuille '"&amp;SheetQuestionaire&amp;"'"</f>
        <v>Remplir en premier la feuille 'Fragenkatalog_Modernisierung'</v>
      </c>
      <c r="E375" s="8" t="str">
        <f>"Riempire prima il foglio '"&amp;SheetQuestionaire&amp;"'"</f>
        <v>Riempire prima il foglio 'Fragenkatalog_Modernisierung'</v>
      </c>
      <c r="F375" s="8" t="str">
        <f>"Please fill out the sheet '"&amp;SheetQuestionaire&amp;"' first"</f>
        <v>Please fill out the sheet 'Fragenkatalog_Modernisierung' first</v>
      </c>
    </row>
    <row r="376" spans="1:6">
      <c r="A376" s="16"/>
      <c r="B376" s="16" t="str">
        <f>INDEX($C376:$F376,1,MATCH(Sprachwahl,ListSprache,0))</f>
        <v>Bitte direkt Tabellenblatt 'Berechnung' ausfüllen</v>
      </c>
      <c r="C376" s="8" t="str">
        <f>"Bitte direkt Tabellenblatt '"&amp;SheetBuildgData&amp;"' ausfüllen"</f>
        <v>Bitte direkt Tabellenblatt 'Berechnung' ausfüllen</v>
      </c>
      <c r="D376" s="17" t="str">
        <f>"Remplir directement la feuille '"&amp;SheetBuildgData&amp;"'"</f>
        <v>Remplir directement la feuille 'Berechnung'</v>
      </c>
      <c r="E376" s="8" t="str">
        <f>"Riempire direttamente la tabella '"&amp;SheetBuildgData&amp;"'"</f>
        <v>Riempire direttamente la tabella 'Berechnung'</v>
      </c>
      <c r="F376" s="8" t="str">
        <f>"Please fill out the sheet '"&amp;SheetBuildgData&amp;"'"</f>
        <v>Please fill out the sheet 'Berechnung'</v>
      </c>
    </row>
    <row r="377" spans="1:6">
      <c r="A377" s="16"/>
      <c r="B377" s="16"/>
      <c r="D377" s="17"/>
    </row>
    <row r="378" spans="1:6">
      <c r="A378" s="16" t="s">
        <v>64</v>
      </c>
      <c r="B378" s="16" t="str">
        <f>INDEX($C378:$F378,1,MATCH(Sprachwahl,ListSprache,0))</f>
        <v>Ja</v>
      </c>
      <c r="C378" s="8" t="s">
        <v>20</v>
      </c>
      <c r="D378" s="17" t="s">
        <v>75</v>
      </c>
      <c r="E378" s="8" t="s">
        <v>2419</v>
      </c>
      <c r="F378" s="8" t="s">
        <v>101</v>
      </c>
    </row>
    <row r="379" spans="1:6">
      <c r="A379" s="16"/>
      <c r="B379" s="16" t="str">
        <f>INDEX($C379:$F379,1,MATCH(Sprachwahl,ListSprache,0))</f>
        <v>Nein</v>
      </c>
      <c r="C379" s="8" t="s">
        <v>19</v>
      </c>
      <c r="D379" s="17" t="s">
        <v>74</v>
      </c>
      <c r="E379" s="8" t="s">
        <v>98</v>
      </c>
      <c r="F379" s="8" t="s">
        <v>98</v>
      </c>
    </row>
    <row r="380" spans="1:6">
      <c r="A380" s="16"/>
      <c r="B380" s="16"/>
      <c r="D380" s="17"/>
    </row>
    <row r="381" spans="1:6">
      <c r="A381" s="16" t="s">
        <v>1825</v>
      </c>
      <c r="B381" s="16" t="str">
        <f>INDEX($C381:$F381,1,MATCH(Sprachwahl,ListSprache,0))</f>
        <v>Überblick</v>
      </c>
      <c r="C381" s="8" t="s">
        <v>99</v>
      </c>
      <c r="D381" s="17" t="s">
        <v>100</v>
      </c>
      <c r="E381" s="8" t="s">
        <v>80</v>
      </c>
      <c r="F381" s="8" t="s">
        <v>87</v>
      </c>
    </row>
    <row r="382" spans="1:6">
      <c r="A382" s="16"/>
      <c r="B382" s="16" t="str">
        <f>INDEX($C382:$F382,1,MATCH(Sprachwahl,ListSprache,0))</f>
        <v>Berechnung</v>
      </c>
      <c r="C382" s="8" t="s">
        <v>175</v>
      </c>
      <c r="D382" s="17" t="s">
        <v>1247</v>
      </c>
      <c r="E382" s="8" t="s">
        <v>716</v>
      </c>
      <c r="F382" s="8" t="s">
        <v>715</v>
      </c>
    </row>
    <row r="383" spans="1:6">
      <c r="A383" s="16"/>
      <c r="B383" s="16" t="str">
        <f>INDEX($C383:$F383,1,MATCH(Sprachwahl,ListSprache,0))</f>
        <v>Fragenkatalog_Modernisierung</v>
      </c>
      <c r="C383" s="8" t="s">
        <v>137</v>
      </c>
      <c r="D383" s="17" t="s">
        <v>1248</v>
      </c>
      <c r="E383" s="8" t="s">
        <v>138</v>
      </c>
      <c r="F383" s="8" t="s">
        <v>139</v>
      </c>
    </row>
    <row r="384" spans="1:6">
      <c r="D384" s="17"/>
    </row>
    <row r="385" spans="1:11" ht="13">
      <c r="A385" s="10" t="s">
        <v>103</v>
      </c>
      <c r="B385" s="10"/>
      <c r="C385" s="10"/>
      <c r="D385" s="61"/>
      <c r="E385" s="10"/>
      <c r="F385" s="10"/>
      <c r="G385" s="10"/>
      <c r="H385" s="109" t="s">
        <v>1643</v>
      </c>
      <c r="I385" s="109"/>
      <c r="J385" s="109"/>
      <c r="K385" s="109"/>
    </row>
    <row r="386" spans="1:11" ht="13">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1592</v>
      </c>
      <c r="C387" s="34" t="str">
        <f t="shared" ref="C387:C406" si="12">INDEX($D387:$G387,1,MATCH(Sprachwahl,ListSprache,0))</f>
        <v>Projektbezeichnung</v>
      </c>
      <c r="D387" s="8" t="s">
        <v>16</v>
      </c>
      <c r="E387" s="8" t="s">
        <v>1613</v>
      </c>
      <c r="F387" s="8" t="s">
        <v>1624</v>
      </c>
      <c r="G387" s="8" t="s">
        <v>1603</v>
      </c>
      <c r="H387" s="65" t="str">
        <f>IF(LEN(D387)&lt;33,"OK","Fehler")</f>
        <v>OK</v>
      </c>
      <c r="I387" s="65" t="str">
        <f>IF(LEN(E387)&lt;33,"OK","Fehler")</f>
        <v>OK</v>
      </c>
      <c r="J387" s="65" t="str">
        <f>IF(LEN(F387)&lt;33,"OK","Fehler")</f>
        <v>OK</v>
      </c>
      <c r="K387" s="65" t="str">
        <f>IF(LEN(G387)&lt;33,"OK","Fehler")</f>
        <v>OK</v>
      </c>
    </row>
    <row r="388" spans="1:11">
      <c r="A388" s="64"/>
      <c r="B388" s="34"/>
      <c r="C388" s="34" t="str">
        <f t="shared" si="12"/>
        <v>Geben Sie eine eindeutige Projektbezeichnung ein.</v>
      </c>
      <c r="D388" s="8" t="s">
        <v>1594</v>
      </c>
      <c r="E388" s="8" t="s">
        <v>1614</v>
      </c>
      <c r="F388" s="8" t="s">
        <v>1625</v>
      </c>
      <c r="G388" s="8" t="s">
        <v>1604</v>
      </c>
      <c r="H388" s="65" t="str">
        <f>IF(LEN(D388)&lt;256,"OK","Fehler")</f>
        <v>OK</v>
      </c>
      <c r="I388" s="65" t="str">
        <f>IF(LEN(E388)&lt;256,"OK","Fehler")</f>
        <v>OK</v>
      </c>
      <c r="J388" s="65" t="str">
        <f>IF(LEN(F388)&lt;256,"OK","Fehler")</f>
        <v>OK</v>
      </c>
      <c r="K388" s="65" t="str">
        <f>IF(LEN(G388)&lt;256,"OK","Fehler")</f>
        <v>OK</v>
      </c>
    </row>
    <row r="389" spans="1:11">
      <c r="A389" s="64"/>
      <c r="B389" s="34"/>
      <c r="C389" s="34" t="str">
        <f t="shared" si="12"/>
        <v>Fehler</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Sie dürfen pro Zeile maximal 256 Zeichen eingeben.</v>
      </c>
      <c r="D390" s="8" t="s">
        <v>1599</v>
      </c>
      <c r="E390" s="8" t="s">
        <v>1615</v>
      </c>
      <c r="F390" s="8" t="s">
        <v>1626</v>
      </c>
      <c r="G390" s="8" t="s">
        <v>1605</v>
      </c>
      <c r="H390" s="65" t="str">
        <f>IF(LEN(D390)&lt;256,"OK","Fehler")</f>
        <v>OK</v>
      </c>
      <c r="I390" s="65" t="str">
        <f>IF(LEN(E390)&lt;256,"OK","Fehler")</f>
        <v>OK</v>
      </c>
      <c r="J390" s="65" t="str">
        <f>IF(LEN(F390)&lt;256,"OK","Fehler")</f>
        <v>OK</v>
      </c>
      <c r="K390" s="65" t="str">
        <f>IF(LEN(G390)&lt;256,"OK","Fehler")</f>
        <v>OK</v>
      </c>
    </row>
    <row r="391" spans="1:11">
      <c r="A391" s="64">
        <v>1</v>
      </c>
      <c r="B391" s="34" t="s">
        <v>1600</v>
      </c>
      <c r="C391" s="34" t="str">
        <f t="shared" si="12"/>
        <v>Projekt-Typ</v>
      </c>
      <c r="D391" s="8" t="s">
        <v>6</v>
      </c>
      <c r="E391" s="8" t="s">
        <v>66</v>
      </c>
      <c r="F391" s="8" t="s">
        <v>1627</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Wählen Sie einen Projekt-Typ aus der Liste.</v>
      </c>
      <c r="D392" s="8" t="s">
        <v>1595</v>
      </c>
      <c r="E392" s="8" t="s">
        <v>1616</v>
      </c>
      <c r="F392" s="8" t="s">
        <v>1628</v>
      </c>
      <c r="G392" s="8" t="s">
        <v>1606</v>
      </c>
      <c r="H392" s="65" t="str">
        <f>IF(LEN(D392)&lt;256,"OK","Fehler")</f>
        <v>OK</v>
      </c>
      <c r="I392" s="65" t="str">
        <f>IF(LEN(E392)&lt;256,"OK","Fehler")</f>
        <v>OK</v>
      </c>
      <c r="J392" s="65" t="str">
        <f>IF(LEN(F392)&lt;256,"OK","Fehler")</f>
        <v>OK</v>
      </c>
      <c r="K392" s="65" t="str">
        <f>IF(LEN(G392)&lt;256,"OK","Fehler")</f>
        <v>OK</v>
      </c>
    </row>
    <row r="393" spans="1:11">
      <c r="A393" s="64"/>
      <c r="B393" s="34"/>
      <c r="C393" s="34" t="str">
        <f t="shared" si="12"/>
        <v>Fehler</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Sie müssen einen Eintrag aus der Liste wählen.</v>
      </c>
      <c r="D394" s="8" t="s">
        <v>12</v>
      </c>
      <c r="E394" s="8" t="s">
        <v>1617</v>
      </c>
      <c r="F394" s="8" t="s">
        <v>1018</v>
      </c>
      <c r="G394" s="8" t="s">
        <v>1352</v>
      </c>
      <c r="H394" s="65" t="str">
        <f>IF(LEN(D394)&lt;256,"OK","Fehler")</f>
        <v>OK</v>
      </c>
      <c r="I394" s="65" t="str">
        <f>IF(LEN(E394)&lt;256,"OK","Fehler")</f>
        <v>OK</v>
      </c>
      <c r="J394" s="65" t="str">
        <f>IF(LEN(F394)&lt;256,"OK","Fehler")</f>
        <v>OK</v>
      </c>
      <c r="K394" s="65" t="str">
        <f>IF(LEN(G394)&lt;256,"OK","Fehler")</f>
        <v>OK</v>
      </c>
    </row>
    <row r="395" spans="1:11">
      <c r="A395" s="64">
        <v>1</v>
      </c>
      <c r="B395" s="34" t="s">
        <v>1601</v>
      </c>
      <c r="C395" s="34" t="str">
        <f t="shared" si="12"/>
        <v>Angestrebtes Zertifikat</v>
      </c>
      <c r="D395" s="8" t="s">
        <v>287</v>
      </c>
      <c r="E395" s="8" t="s">
        <v>1618</v>
      </c>
      <c r="F395" s="8" t="s">
        <v>846</v>
      </c>
      <c r="G395" s="8" t="s">
        <v>1607</v>
      </c>
      <c r="H395" s="65" t="str">
        <f>IF(LEN(D395)&lt;33,"OK","Fehler")</f>
        <v>OK</v>
      </c>
      <c r="I395" s="65" t="str">
        <f>IF(LEN(E395)&lt;33,"OK","Fehler")</f>
        <v>OK</v>
      </c>
      <c r="J395" s="65" t="str">
        <f>IF(LEN(F395)&lt;33,"OK","Fehler")</f>
        <v>OK</v>
      </c>
      <c r="K395" s="65" t="str">
        <f>IF(LEN(G395)&lt;33,"OK","Fehler")</f>
        <v>OK</v>
      </c>
    </row>
    <row r="396" spans="1:11">
      <c r="A396" s="64"/>
      <c r="B396" s="34"/>
      <c r="C396" s="34" t="str">
        <f t="shared" si="12"/>
        <v>Wählen Sie ein Zertifikat / Standard aus der Liste.</v>
      </c>
      <c r="D396" s="8" t="s">
        <v>1596</v>
      </c>
      <c r="E396" s="8" t="s">
        <v>1619</v>
      </c>
      <c r="F396" s="8" t="s">
        <v>1629</v>
      </c>
      <c r="G396" s="8" t="s">
        <v>1608</v>
      </c>
      <c r="H396" s="65" t="str">
        <f>IF(LEN(D396)&lt;256,"OK","Fehler")</f>
        <v>OK</v>
      </c>
      <c r="I396" s="65" t="str">
        <f>IF(LEN(E396)&lt;256,"OK","Fehler")</f>
        <v>OK</v>
      </c>
      <c r="J396" s="65" t="str">
        <f>IF(LEN(F396)&lt;256,"OK","Fehler")</f>
        <v>OK</v>
      </c>
      <c r="K396" s="65" t="str">
        <f>IF(LEN(G396)&lt;256,"OK","Fehler")</f>
        <v>OK</v>
      </c>
    </row>
    <row r="397" spans="1:11">
      <c r="A397" s="64"/>
      <c r="B397" s="34"/>
      <c r="C397" s="34" t="str">
        <f t="shared" si="12"/>
        <v>Fehler</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Sie müssen einen Eintrag aus der Liste wählen.</v>
      </c>
      <c r="D398" s="8" t="s">
        <v>12</v>
      </c>
      <c r="E398" s="8" t="s">
        <v>1617</v>
      </c>
      <c r="F398" s="8" t="s">
        <v>1018</v>
      </c>
      <c r="G398" s="8" t="s">
        <v>1352</v>
      </c>
      <c r="H398" s="65" t="str">
        <f>IF(LEN(D398)&lt;256,"OK","Fehler")</f>
        <v>OK</v>
      </c>
      <c r="I398" s="65" t="str">
        <f>IF(LEN(E398)&lt;256,"OK","Fehler")</f>
        <v>OK</v>
      </c>
      <c r="J398" s="65" t="str">
        <f>IF(LEN(F398)&lt;256,"OK","Fehler")</f>
        <v>OK</v>
      </c>
      <c r="K398" s="65" t="str">
        <f>IF(LEN(G398)&lt;256,"OK","Fehler")</f>
        <v>OK</v>
      </c>
    </row>
    <row r="399" spans="1:11">
      <c r="A399" s="64">
        <v>1</v>
      </c>
      <c r="B399" s="34" t="s">
        <v>1602</v>
      </c>
      <c r="C399" s="34" t="str">
        <f t="shared" si="12"/>
        <v>Gebäudekategorie</v>
      </c>
      <c r="D399" s="8" t="s">
        <v>140</v>
      </c>
      <c r="E399" s="8" t="s">
        <v>1620</v>
      </c>
      <c r="F399" s="8" t="s">
        <v>1630</v>
      </c>
      <c r="G399" s="8" t="s">
        <v>1609</v>
      </c>
      <c r="H399" s="65" t="str">
        <f>IF(LEN(D399)&lt;33,"OK","Fehler")</f>
        <v>OK</v>
      </c>
      <c r="I399" s="65" t="str">
        <f>IF(LEN(E399)&lt;33,"OK","Fehler")</f>
        <v>OK</v>
      </c>
      <c r="J399" s="65" t="str">
        <f>IF(LEN(F399)&lt;33,"OK","Fehler")</f>
        <v>OK</v>
      </c>
      <c r="K399" s="65" t="str">
        <f>IF(LEN(G399)&lt;33,"OK","Fehler")</f>
        <v>OK</v>
      </c>
    </row>
    <row r="400" spans="1:11">
      <c r="A400" s="64"/>
      <c r="B400" s="34"/>
      <c r="C400" s="34" t="str">
        <f t="shared" si="12"/>
        <v>Wählen Sie eine Gebäudekategorie aus der Liste.</v>
      </c>
      <c r="D400" s="8" t="s">
        <v>1597</v>
      </c>
      <c r="E400" s="8" t="s">
        <v>1621</v>
      </c>
      <c r="F400" s="8" t="s">
        <v>1631</v>
      </c>
      <c r="G400" s="8" t="s">
        <v>1610</v>
      </c>
      <c r="H400" s="65" t="str">
        <f>IF(LEN(D400)&lt;256,"OK","Fehler")</f>
        <v>OK</v>
      </c>
      <c r="I400" s="65" t="str">
        <f>IF(LEN(E400)&lt;256,"OK","Fehler")</f>
        <v>OK</v>
      </c>
      <c r="J400" s="65" t="str">
        <f>IF(LEN(F400)&lt;256,"OK","Fehler")</f>
        <v>OK</v>
      </c>
      <c r="K400" s="65" t="str">
        <f>IF(LEN(G400)&lt;256,"OK","Fehler")</f>
        <v>OK</v>
      </c>
    </row>
    <row r="401" spans="1:11">
      <c r="A401" s="64"/>
      <c r="B401" s="34"/>
      <c r="C401" s="34" t="str">
        <f t="shared" si="12"/>
        <v>Fehler</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Sie müssen einen Eintrag aus der Liste wählen.</v>
      </c>
      <c r="D402" s="8" t="s">
        <v>12</v>
      </c>
      <c r="E402" s="8" t="s">
        <v>1617</v>
      </c>
      <c r="F402" s="8" t="s">
        <v>1018</v>
      </c>
      <c r="G402" s="8" t="s">
        <v>1352</v>
      </c>
      <c r="H402" s="65" t="str">
        <f>IF(LEN(D402)&lt;256,"OK","Fehler")</f>
        <v>OK</v>
      </c>
      <c r="I402" s="65" t="str">
        <f>IF(LEN(E402)&lt;256,"OK","Fehler")</f>
        <v>OK</v>
      </c>
      <c r="J402" s="65" t="str">
        <f>IF(LEN(F402)&lt;256,"OK","Fehler")</f>
        <v>OK</v>
      </c>
      <c r="K402" s="65" t="str">
        <f>IF(LEN(G402)&lt;256,"OK","Fehler")</f>
        <v>OK</v>
      </c>
    </row>
    <row r="403" spans="1:11">
      <c r="A403" s="64">
        <v>1</v>
      </c>
      <c r="B403" s="34" t="s">
        <v>1641</v>
      </c>
      <c r="C403" s="34" t="str">
        <f t="shared" si="12"/>
        <v>Beteiligte</v>
      </c>
      <c r="D403" s="8" t="s">
        <v>1593</v>
      </c>
      <c r="E403" s="8" t="s">
        <v>1622</v>
      </c>
      <c r="F403" s="8" t="s">
        <v>1632</v>
      </c>
      <c r="G403" s="8" t="s">
        <v>1611</v>
      </c>
      <c r="H403" s="65" t="str">
        <f>IF(LEN(D403)&lt;33,"OK","Fehler")</f>
        <v>OK</v>
      </c>
      <c r="I403" s="65" t="str">
        <f>IF(LEN(E403)&lt;33,"OK","Fehler")</f>
        <v>OK</v>
      </c>
      <c r="J403" s="65" t="str">
        <f>IF(LEN(F403)&lt;33,"OK","Fehler")</f>
        <v>OK</v>
      </c>
      <c r="K403" s="65" t="str">
        <f>IF(LEN(G403)&lt;33,"OK","Fehler")</f>
        <v>OK</v>
      </c>
    </row>
    <row r="404" spans="1:11">
      <c r="A404" s="64"/>
      <c r="B404" s="34"/>
      <c r="C404" s="34" t="str">
        <f t="shared" si="12"/>
        <v>Geben Sie Namen und Kontaktdaten der Beteiligten ein.</v>
      </c>
      <c r="D404" s="8" t="s">
        <v>1598</v>
      </c>
      <c r="E404" s="8" t="s">
        <v>1623</v>
      </c>
      <c r="F404" s="8" t="s">
        <v>1633</v>
      </c>
      <c r="G404" s="8" t="s">
        <v>1612</v>
      </c>
      <c r="H404" s="65" t="str">
        <f>IF(LEN(D404)&lt;256,"OK","Fehler")</f>
        <v>OK</v>
      </c>
      <c r="I404" s="65" t="str">
        <f>IF(LEN(E404)&lt;256,"OK","Fehler")</f>
        <v>OK</v>
      </c>
      <c r="J404" s="65" t="str">
        <f>IF(LEN(F404)&lt;256,"OK","Fehler")</f>
        <v>OK</v>
      </c>
      <c r="K404" s="65" t="str">
        <f>IF(LEN(G404)&lt;256,"OK","Fehler")</f>
        <v>OK</v>
      </c>
    </row>
    <row r="405" spans="1:11">
      <c r="A405" s="64"/>
      <c r="B405" s="34"/>
      <c r="C405" s="34" t="str">
        <f t="shared" si="12"/>
        <v>Fehler</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Sie dürfen pro Zeile maximal 256 Zeichen eingeben.</v>
      </c>
      <c r="D406" s="8" t="s">
        <v>1599</v>
      </c>
      <c r="E406" s="8" t="s">
        <v>1615</v>
      </c>
      <c r="F406" s="8" t="s">
        <v>1626</v>
      </c>
      <c r="G406" s="8" t="s">
        <v>1605</v>
      </c>
      <c r="H406" s="65" t="str">
        <f>IF(LEN(D406)&lt;256,"OK","Fehler")</f>
        <v>OK</v>
      </c>
      <c r="I406" s="65" t="str">
        <f>IF(LEN(E406)&lt;256,"OK","Fehler")</f>
        <v>OK</v>
      </c>
      <c r="J406" s="65" t="str">
        <f>IF(LEN(F406)&lt;256,"OK","Fehler")</f>
        <v>OK</v>
      </c>
      <c r="K406" s="65" t="str">
        <f>IF(LEN(G406)&lt;256,"OK","Fehler")</f>
        <v>OK</v>
      </c>
    </row>
    <row r="407" spans="1:11">
      <c r="A407" s="63">
        <v>2</v>
      </c>
      <c r="B407" s="34" t="s">
        <v>392</v>
      </c>
      <c r="C407" s="34" t="str">
        <f t="shared" ref="C407:C438" si="13">INDEX($D407:$G407,1,MATCH(Sprachwahl,ListSprache,0))</f>
        <v>Energiestandard</v>
      </c>
      <c r="D407" s="8" t="s">
        <v>217</v>
      </c>
      <c r="E407" s="8" t="s">
        <v>1100</v>
      </c>
      <c r="F407" s="8" t="s">
        <v>878</v>
      </c>
      <c r="G407" s="8" t="s">
        <v>1350</v>
      </c>
      <c r="H407" s="65" t="str">
        <f>IF(LEN(D407)&lt;33,"OK","Fehler")</f>
        <v>OK</v>
      </c>
      <c r="I407" s="65" t="str">
        <f>IF(LEN(E407)&lt;33,"OK","Fehler")</f>
        <v>OK</v>
      </c>
      <c r="J407" s="65" t="str">
        <f>IF(LEN(F407)&lt;33,"OK","Fehler")</f>
        <v>OK</v>
      </c>
      <c r="K407" s="65" t="str">
        <f>IF(LEN(G407)&lt;33,"OK","Fehler")</f>
        <v>OK</v>
      </c>
    </row>
    <row r="408" spans="1:11">
      <c r="A408" s="63"/>
      <c r="B408" s="34"/>
      <c r="C408" s="34" t="str">
        <f t="shared" si="13"/>
        <v>Wählen Sie den angestrebten Energiestandard aus.</v>
      </c>
      <c r="D408" s="8" t="s">
        <v>405</v>
      </c>
      <c r="E408" s="8" t="s">
        <v>1249</v>
      </c>
      <c r="F408" s="8" t="s">
        <v>1017</v>
      </c>
      <c r="G408" s="8" t="s">
        <v>1351</v>
      </c>
      <c r="H408" s="65" t="str">
        <f>IF(LEN(D408)&lt;256,"OK","Fehler")</f>
        <v>OK</v>
      </c>
      <c r="I408" s="65" t="str">
        <f>IF(LEN(E408)&lt;256,"OK","Fehler")</f>
        <v>OK</v>
      </c>
      <c r="J408" s="65" t="str">
        <f>IF(LEN(F408)&lt;256,"OK","Fehler")</f>
        <v>OK</v>
      </c>
      <c r="K408" s="65" t="str">
        <f>IF(LEN(G408)&lt;256,"OK","Fehler")</f>
        <v>OK</v>
      </c>
    </row>
    <row r="409" spans="1:11">
      <c r="A409" s="63"/>
      <c r="B409" s="34"/>
      <c r="C409" s="34" t="str">
        <f t="shared" si="13"/>
        <v>Fehler</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Sie müssen einen Eintrag aus der Liste wählen.</v>
      </c>
      <c r="D410" s="8" t="s">
        <v>12</v>
      </c>
      <c r="E410" s="8" t="s">
        <v>1250</v>
      </c>
      <c r="F410" s="8" t="s">
        <v>1018</v>
      </c>
      <c r="G410" s="8" t="s">
        <v>1352</v>
      </c>
      <c r="H410" s="65" t="str">
        <f>IF(LEN(D410)&lt;256,"OK","Fehler")</f>
        <v>OK</v>
      </c>
      <c r="I410" s="65" t="str">
        <f>IF(LEN(E410)&lt;256,"OK","Fehler")</f>
        <v>OK</v>
      </c>
      <c r="J410" s="65" t="str">
        <f>IF(LEN(F410)&lt;256,"OK","Fehler")</f>
        <v>OK</v>
      </c>
      <c r="K410" s="65" t="str">
        <f>IF(LEN(G410)&lt;256,"OK","Fehler")</f>
        <v>OK</v>
      </c>
    </row>
    <row r="411" spans="1:11">
      <c r="A411" s="63">
        <v>2</v>
      </c>
      <c r="B411" s="34" t="s">
        <v>393</v>
      </c>
      <c r="C411" s="34" t="str">
        <f t="shared" si="13"/>
        <v>Energiebezugsfläche</v>
      </c>
      <c r="D411" s="8" t="s">
        <v>177</v>
      </c>
      <c r="E411" s="8" t="s">
        <v>1088</v>
      </c>
      <c r="F411" s="8" t="s">
        <v>1634</v>
      </c>
      <c r="G411" s="8" t="s">
        <v>740</v>
      </c>
      <c r="H411" s="65" t="str">
        <f>IF(LEN(D411)&lt;33,"OK","Fehler")</f>
        <v>OK</v>
      </c>
      <c r="I411" s="65" t="str">
        <f>IF(LEN(E411)&lt;33,"OK","Fehler")</f>
        <v>OK</v>
      </c>
      <c r="J411" s="65" t="str">
        <f>IF(LEN(F411)&lt;33,"OK","Fehler")</f>
        <v>OK</v>
      </c>
      <c r="K411" s="65" t="str">
        <f>IF(LEN(G411)&lt;33,"OK","Fehler")</f>
        <v>OK</v>
      </c>
    </row>
    <row r="412" spans="1:11">
      <c r="A412" s="63"/>
      <c r="B412" s="34"/>
      <c r="C412" s="34" t="str">
        <f t="shared" si="13"/>
        <v>Bitte geben Sie die EBF des Gebäudes ein.</v>
      </c>
      <c r="D412" s="8" t="s">
        <v>406</v>
      </c>
      <c r="E412" s="8" t="s">
        <v>1251</v>
      </c>
      <c r="F412" s="8" t="s">
        <v>1019</v>
      </c>
      <c r="G412" s="8" t="s">
        <v>1354</v>
      </c>
      <c r="H412" s="65" t="str">
        <f>IF(LEN(D412)&lt;256,"OK","Fehler")</f>
        <v>OK</v>
      </c>
      <c r="I412" s="65" t="str">
        <f>IF(LEN(E412)&lt;256,"OK","Fehler")</f>
        <v>OK</v>
      </c>
      <c r="J412" s="65" t="str">
        <f>IF(LEN(F412)&lt;256,"OK","Fehler")</f>
        <v>OK</v>
      </c>
      <c r="K412" s="65" t="str">
        <f>IF(LEN(G412)&lt;256,"OK","Fehler")</f>
        <v>OK</v>
      </c>
    </row>
    <row r="413" spans="1:11">
      <c r="A413" s="63"/>
      <c r="B413" s="34"/>
      <c r="C413" s="34" t="str">
        <f t="shared" si="13"/>
        <v>Fehler</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Die EBF muss zwischen 0 und 200'000 m2 liegen.</v>
      </c>
      <c r="D414" s="8" t="s">
        <v>407</v>
      </c>
      <c r="E414" s="8" t="s">
        <v>1252</v>
      </c>
      <c r="F414" s="8" t="s">
        <v>1020</v>
      </c>
      <c r="G414" s="8" t="s">
        <v>1355</v>
      </c>
      <c r="H414" s="65" t="str">
        <f>IF(LEN(D414)&lt;256,"OK","Fehler")</f>
        <v>OK</v>
      </c>
      <c r="I414" s="65" t="str">
        <f>IF(LEN(E414)&lt;256,"OK","Fehler")</f>
        <v>OK</v>
      </c>
      <c r="J414" s="65" t="str">
        <f>IF(LEN(F414)&lt;256,"OK","Fehler")</f>
        <v>OK</v>
      </c>
      <c r="K414" s="65" t="str">
        <f>IF(LEN(G414)&lt;256,"OK","Fehler")</f>
        <v>OK</v>
      </c>
    </row>
    <row r="415" spans="1:11">
      <c r="A415" s="63">
        <v>2</v>
      </c>
      <c r="B415" s="34" t="s">
        <v>394</v>
      </c>
      <c r="C415" s="34" t="str">
        <f t="shared" si="13"/>
        <v>Boden beh. gegen unbeh./Erdreich</v>
      </c>
      <c r="D415" s="8" t="s">
        <v>1635</v>
      </c>
      <c r="E415" s="8" t="s">
        <v>1638</v>
      </c>
      <c r="F415" s="8" t="s">
        <v>1637</v>
      </c>
      <c r="G415" s="8" t="s">
        <v>1636</v>
      </c>
      <c r="H415" s="65" t="str">
        <f>IF(LEN(D415)&lt;33,"OK","Fehler")</f>
        <v>OK</v>
      </c>
      <c r="I415" s="65" t="str">
        <f>IF(LEN(E415)&lt;33,"OK","Fehler")</f>
        <v>OK</v>
      </c>
      <c r="J415" s="65" t="str">
        <f>IF(LEN(F415)&lt;33,"OK","Fehler")</f>
        <v>OK</v>
      </c>
      <c r="K415" s="65" t="str">
        <f>IF(LEN(G415)&lt;33,"OK","Fehler")</f>
        <v>OK</v>
      </c>
    </row>
    <row r="416" spans="1:11">
      <c r="A416" s="63"/>
      <c r="B416" s="34"/>
      <c r="C416" s="34" t="str">
        <f t="shared" si="13"/>
        <v>Geben Sie die Fläche ein.</v>
      </c>
      <c r="D416" s="8" t="s">
        <v>408</v>
      </c>
      <c r="E416" s="8" t="s">
        <v>1253</v>
      </c>
      <c r="F416" s="8" t="s">
        <v>1021</v>
      </c>
      <c r="G416" s="8" t="s">
        <v>1353</v>
      </c>
      <c r="H416" s="65" t="str">
        <f>IF(LEN(D416)&lt;256,"OK","Fehler")</f>
        <v>OK</v>
      </c>
      <c r="I416" s="65" t="str">
        <f>IF(LEN(E416)&lt;256,"OK","Fehler")</f>
        <v>OK</v>
      </c>
      <c r="J416" s="65" t="str">
        <f>IF(LEN(F416)&lt;256,"OK","Fehler")</f>
        <v>OK</v>
      </c>
      <c r="K416" s="65" t="str">
        <f>IF(LEN(G416)&lt;256,"OK","Fehler")</f>
        <v>OK</v>
      </c>
    </row>
    <row r="417" spans="1:11">
      <c r="A417" s="63"/>
      <c r="B417" s="34"/>
      <c r="C417" s="34" t="str">
        <f t="shared" si="13"/>
        <v>Fehler</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Sie müssen Werte zwischen 0 und der EBF eingeben.</v>
      </c>
      <c r="D418" s="8" t="s">
        <v>443</v>
      </c>
      <c r="E418" s="8" t="s">
        <v>1254</v>
      </c>
      <c r="F418" s="8" t="s">
        <v>1022</v>
      </c>
      <c r="G418" s="8" t="s">
        <v>1361</v>
      </c>
      <c r="H418" s="65" t="str">
        <f>IF(LEN(D418)&lt;256,"OK","Fehler")</f>
        <v>OK</v>
      </c>
      <c r="I418" s="65" t="str">
        <f>IF(LEN(E418)&lt;256,"OK","Fehler")</f>
        <v>OK</v>
      </c>
      <c r="J418" s="65" t="str">
        <f>IF(LEN(F418)&lt;256,"OK","Fehler")</f>
        <v>OK</v>
      </c>
      <c r="K418" s="65" t="str">
        <f>IF(LEN(G418)&lt;256,"OK","Fehler")</f>
        <v>OK</v>
      </c>
    </row>
    <row r="419" spans="1:11">
      <c r="A419" s="63">
        <v>2</v>
      </c>
      <c r="B419" s="34" t="s">
        <v>395</v>
      </c>
      <c r="C419" s="34" t="str">
        <f t="shared" si="13"/>
        <v>Stockwerke unbeheizt</v>
      </c>
      <c r="D419" s="8" t="s">
        <v>409</v>
      </c>
      <c r="E419" s="8" t="s">
        <v>1255</v>
      </c>
      <c r="F419" s="8" t="s">
        <v>1023</v>
      </c>
      <c r="G419" s="8" t="s">
        <v>1356</v>
      </c>
      <c r="H419" s="65" t="str">
        <f>IF(LEN(D419)&lt;33,"OK","Fehler")</f>
        <v>OK</v>
      </c>
      <c r="I419" s="65" t="str">
        <f>IF(LEN(E419)&lt;33,"OK","Fehler")</f>
        <v>OK</v>
      </c>
      <c r="J419" s="65" t="str">
        <f>IF(LEN(F419)&lt;33,"OK","Fehler")</f>
        <v>OK</v>
      </c>
      <c r="K419" s="65" t="str">
        <f>IF(LEN(G419)&lt;33,"OK","Fehler")</f>
        <v>OK</v>
      </c>
    </row>
    <row r="420" spans="1:11">
      <c r="A420" s="63"/>
      <c r="B420" s="34"/>
      <c r="C420" s="34" t="str">
        <f t="shared" si="13"/>
        <v>Geben Sie die Anzahl der unbeheizten Geschosse ein (Dezimalzahlen sind erlaubt).</v>
      </c>
      <c r="D420" s="8" t="s">
        <v>410</v>
      </c>
      <c r="E420" s="8" t="s">
        <v>1256</v>
      </c>
      <c r="F420" s="8" t="s">
        <v>1024</v>
      </c>
      <c r="G420" s="8" t="s">
        <v>1357</v>
      </c>
      <c r="H420" s="65" t="str">
        <f>IF(LEN(D420)&lt;256,"OK","Fehler")</f>
        <v>OK</v>
      </c>
      <c r="I420" s="65" t="str">
        <f>IF(LEN(E420)&lt;256,"OK","Fehler")</f>
        <v>OK</v>
      </c>
      <c r="J420" s="65" t="str">
        <f>IF(LEN(F420)&lt;256,"OK","Fehler")</f>
        <v>OK</v>
      </c>
      <c r="K420" s="65" t="str">
        <f>IF(LEN(G420)&lt;256,"OK","Fehler")</f>
        <v>OK</v>
      </c>
    </row>
    <row r="421" spans="1:11">
      <c r="A421" s="63"/>
      <c r="B421" s="34"/>
      <c r="C421" s="34" t="str">
        <f t="shared" si="13"/>
        <v>Fehler</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Sie müssen Werte zwischen 0 und 20 eingeben.</v>
      </c>
      <c r="D422" s="8" t="s">
        <v>411</v>
      </c>
      <c r="E422" s="8" t="s">
        <v>1257</v>
      </c>
      <c r="F422" s="8" t="s">
        <v>1025</v>
      </c>
      <c r="G422" s="8" t="s">
        <v>1358</v>
      </c>
      <c r="H422" s="65" t="str">
        <f>IF(LEN(D422)&lt;256,"OK","Fehler")</f>
        <v>OK</v>
      </c>
      <c r="I422" s="65" t="str">
        <f>IF(LEN(E422)&lt;256,"OK","Fehler")</f>
        <v>OK</v>
      </c>
      <c r="J422" s="65" t="str">
        <f>IF(LEN(F422)&lt;256,"OK","Fehler")</f>
        <v>OK</v>
      </c>
      <c r="K422" s="65" t="str">
        <f>IF(LEN(G422)&lt;256,"OK","Fehler")</f>
        <v>OK</v>
      </c>
    </row>
    <row r="423" spans="1:11">
      <c r="A423" s="63">
        <v>2</v>
      </c>
      <c r="B423" s="34" t="s">
        <v>396</v>
      </c>
      <c r="C423" s="34" t="str">
        <f t="shared" si="13"/>
        <v>Mittlere Raumhöhe</v>
      </c>
      <c r="D423" s="8" t="s">
        <v>338</v>
      </c>
      <c r="E423" s="8" t="s">
        <v>1258</v>
      </c>
      <c r="F423" s="8" t="s">
        <v>1026</v>
      </c>
      <c r="G423" s="8" t="s">
        <v>1359</v>
      </c>
      <c r="H423" s="65" t="str">
        <f>IF(LEN(D423)&lt;33,"OK","Fehler")</f>
        <v>OK</v>
      </c>
      <c r="I423" s="65" t="str">
        <f>IF(LEN(E423)&lt;33,"OK","Fehler")</f>
        <v>OK</v>
      </c>
      <c r="J423" s="65" t="str">
        <f>IF(LEN(F423)&lt;33,"OK","Fehler")</f>
        <v>OK</v>
      </c>
      <c r="K423" s="65" t="str">
        <f>IF(LEN(G423)&lt;33,"OK","Fehler")</f>
        <v>OK</v>
      </c>
    </row>
    <row r="424" spans="1:11">
      <c r="A424" s="63"/>
      <c r="B424" s="34"/>
      <c r="C424" s="34" t="str">
        <f t="shared" si="13"/>
        <v>Geben Sie die mittlere Raumhöhe über alle beheizten Geschosse ein.</v>
      </c>
      <c r="D424" s="8" t="s">
        <v>412</v>
      </c>
      <c r="E424" s="8" t="s">
        <v>1259</v>
      </c>
      <c r="F424" s="8" t="s">
        <v>1027</v>
      </c>
      <c r="G424" s="8" t="s">
        <v>1360</v>
      </c>
      <c r="H424" s="65" t="str">
        <f>IF(LEN(D424)&lt;256,"OK","Fehler")</f>
        <v>OK</v>
      </c>
      <c r="I424" s="65" t="str">
        <f>IF(LEN(E424)&lt;256,"OK","Fehler")</f>
        <v>OK</v>
      </c>
      <c r="J424" s="65" t="str">
        <f>IF(LEN(F424)&lt;256,"OK","Fehler")</f>
        <v>OK</v>
      </c>
      <c r="K424" s="65" t="str">
        <f>IF(LEN(G424)&lt;256,"OK","Fehler")</f>
        <v>OK</v>
      </c>
    </row>
    <row r="425" spans="1:11">
      <c r="A425" s="63"/>
      <c r="B425" s="34"/>
      <c r="C425" s="34" t="str">
        <f t="shared" si="13"/>
        <v>Fehler</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Sie müssen Werte zwischen 0 und 20 eingeben.</v>
      </c>
      <c r="D426" s="8" t="s">
        <v>411</v>
      </c>
      <c r="E426" s="8" t="s">
        <v>1260</v>
      </c>
      <c r="F426" s="8" t="s">
        <v>1025</v>
      </c>
      <c r="G426" s="8" t="s">
        <v>1358</v>
      </c>
      <c r="H426" s="65" t="str">
        <f>IF(LEN(D426)&lt;256,"OK","Fehler")</f>
        <v>OK</v>
      </c>
      <c r="I426" s="65" t="str">
        <f>IF(LEN(E426)&lt;256,"OK","Fehler")</f>
        <v>OK</v>
      </c>
      <c r="J426" s="65" t="str">
        <f>IF(LEN(F426)&lt;256,"OK","Fehler")</f>
        <v>OK</v>
      </c>
      <c r="K426" s="65" t="str">
        <f>IF(LEN(G426)&lt;256,"OK","Fehler")</f>
        <v>OK</v>
      </c>
    </row>
    <row r="427" spans="1:11">
      <c r="A427" s="63">
        <v>2</v>
      </c>
      <c r="B427" s="34" t="s">
        <v>397</v>
      </c>
      <c r="C427" s="34" t="str">
        <f t="shared" si="13"/>
        <v>PV-Anlage</v>
      </c>
      <c r="D427" s="8" t="s">
        <v>413</v>
      </c>
      <c r="E427" s="8" t="s">
        <v>1261</v>
      </c>
      <c r="F427" s="8" t="s">
        <v>1028</v>
      </c>
      <c r="G427" s="8" t="s">
        <v>1362</v>
      </c>
      <c r="H427" s="65" t="str">
        <f>IF(LEN(D427)&lt;33,"OK","Fehler")</f>
        <v>OK</v>
      </c>
      <c r="I427" s="65" t="str">
        <f>IF(LEN(E427)&lt;33,"OK","Fehler")</f>
        <v>OK</v>
      </c>
      <c r="J427" s="65" t="str">
        <f>IF(LEN(F427)&lt;33,"OK","Fehler")</f>
        <v>OK</v>
      </c>
      <c r="K427" s="65" t="str">
        <f>IF(LEN(G427)&lt;33,"OK","Fehler")</f>
        <v>OK</v>
      </c>
    </row>
    <row r="428" spans="1:11">
      <c r="A428" s="63"/>
      <c r="B428" s="34"/>
      <c r="C428" s="34" t="str">
        <f t="shared" si="13"/>
        <v>Geben Sie die Nettofläche der PV-Absorber ein.</v>
      </c>
      <c r="D428" s="8" t="s">
        <v>414</v>
      </c>
      <c r="E428" s="8" t="s">
        <v>1262</v>
      </c>
      <c r="F428" s="8" t="s">
        <v>1029</v>
      </c>
      <c r="G428" s="8" t="s">
        <v>1363</v>
      </c>
      <c r="H428" s="65" t="str">
        <f>IF(LEN(D428)&lt;256,"OK","Fehler")</f>
        <v>OK</v>
      </c>
      <c r="I428" s="65" t="str">
        <f>IF(LEN(E428)&lt;256,"OK","Fehler")</f>
        <v>OK</v>
      </c>
      <c r="J428" s="65" t="str">
        <f>IF(LEN(F428)&lt;256,"OK","Fehler")</f>
        <v>OK</v>
      </c>
      <c r="K428" s="65" t="str">
        <f>IF(LEN(G428)&lt;256,"OK","Fehler")</f>
        <v>OK</v>
      </c>
    </row>
    <row r="429" spans="1:11">
      <c r="A429" s="63"/>
      <c r="B429" s="34"/>
      <c r="C429" s="34" t="str">
        <f t="shared" si="13"/>
        <v>Fehler</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Sie müssen Werte zwischen 0 und der 2.5-fachen Geschossfläche eingeben.</v>
      </c>
      <c r="D430" s="8" t="s">
        <v>415</v>
      </c>
      <c r="E430" s="8" t="s">
        <v>1263</v>
      </c>
      <c r="F430" s="8" t="s">
        <v>1030</v>
      </c>
      <c r="G430" s="8" t="s">
        <v>1364</v>
      </c>
      <c r="H430" s="65" t="str">
        <f>IF(LEN(D430)&lt;256,"OK","Fehler")</f>
        <v>OK</v>
      </c>
      <c r="I430" s="65" t="str">
        <f>IF(LEN(E430)&lt;256,"OK","Fehler")</f>
        <v>OK</v>
      </c>
      <c r="J430" s="65" t="str">
        <f>IF(LEN(F430)&lt;256,"OK","Fehler")</f>
        <v>OK</v>
      </c>
      <c r="K430" s="65" t="str">
        <f>IF(LEN(G430)&lt;256,"OK","Fehler")</f>
        <v>OK</v>
      </c>
    </row>
    <row r="431" spans="1:11">
      <c r="A431" s="63">
        <v>2</v>
      </c>
      <c r="B431" s="34" t="s">
        <v>398</v>
      </c>
      <c r="C431" s="34" t="str">
        <f t="shared" si="13"/>
        <v>Ersonden</v>
      </c>
      <c r="D431" s="8" t="s">
        <v>416</v>
      </c>
      <c r="E431" s="8" t="s">
        <v>1264</v>
      </c>
      <c r="F431" s="8" t="s">
        <v>873</v>
      </c>
      <c r="G431" s="8" t="s">
        <v>1367</v>
      </c>
      <c r="H431" s="65" t="str">
        <f>IF(LEN(D431)&lt;33,"OK","Fehler")</f>
        <v>OK</v>
      </c>
      <c r="I431" s="65" t="str">
        <f>IF(LEN(E431)&lt;33,"OK","Fehler")</f>
        <v>OK</v>
      </c>
      <c r="J431" s="65" t="str">
        <f>IF(LEN(F431)&lt;33,"OK","Fehler")</f>
        <v>OK</v>
      </c>
      <c r="K431" s="65" t="str">
        <f>IF(LEN(G431)&lt;33,"OK","Fehler")</f>
        <v>OK</v>
      </c>
    </row>
    <row r="432" spans="1:11">
      <c r="A432" s="63"/>
      <c r="B432" s="34"/>
      <c r="C432" s="34" t="str">
        <f t="shared" si="13"/>
        <v>Wählen Sie Ja, falls Erdsonden neu verlegt oder ersetzt werden.</v>
      </c>
      <c r="D432" s="8" t="s">
        <v>417</v>
      </c>
      <c r="E432" s="8" t="s">
        <v>1265</v>
      </c>
      <c r="F432" s="8" t="s">
        <v>1031</v>
      </c>
      <c r="G432" s="8" t="s">
        <v>1365</v>
      </c>
      <c r="H432" s="65" t="str">
        <f>IF(LEN(D432)&lt;256,"OK","Fehler")</f>
        <v>OK</v>
      </c>
      <c r="I432" s="65" t="str">
        <f>IF(LEN(E432)&lt;256,"OK","Fehler")</f>
        <v>OK</v>
      </c>
      <c r="J432" s="65" t="str">
        <f>IF(LEN(F432)&lt;256,"OK","Fehler")</f>
        <v>OK</v>
      </c>
      <c r="K432" s="65" t="str">
        <f>IF(LEN(G432)&lt;256,"OK","Fehler")</f>
        <v>OK</v>
      </c>
    </row>
    <row r="433" spans="1:11">
      <c r="A433" s="63"/>
      <c r="B433" s="34"/>
      <c r="C433" s="34" t="str">
        <f t="shared" si="13"/>
        <v>Fehler</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Sie müssen einen Eintrag aus der Liste wählen.</v>
      </c>
      <c r="D434" s="8" t="s">
        <v>1349</v>
      </c>
      <c r="E434" s="8" t="s">
        <v>1266</v>
      </c>
      <c r="F434" s="8" t="s">
        <v>1018</v>
      </c>
      <c r="G434" s="8" t="s">
        <v>1352</v>
      </c>
      <c r="H434" s="65" t="str">
        <f>IF(LEN(D434)&lt;256,"OK","Fehler")</f>
        <v>OK</v>
      </c>
      <c r="I434" s="65" t="str">
        <f>IF(LEN(E434)&lt;256,"OK","Fehler")</f>
        <v>OK</v>
      </c>
      <c r="J434" s="65" t="str">
        <f>IF(LEN(F434)&lt;256,"OK","Fehler")</f>
        <v>OK</v>
      </c>
      <c r="K434" s="65" t="str">
        <f>IF(LEN(G434)&lt;256,"OK","Fehler")</f>
        <v>OK</v>
      </c>
    </row>
    <row r="435" spans="1:11">
      <c r="A435" s="63">
        <v>2</v>
      </c>
      <c r="B435" s="34" t="s">
        <v>399</v>
      </c>
      <c r="C435" s="34" t="str">
        <f t="shared" si="13"/>
        <v>Wärmeverteilungen</v>
      </c>
      <c r="D435" s="8" t="s">
        <v>421</v>
      </c>
      <c r="E435" s="8" t="s">
        <v>1267</v>
      </c>
      <c r="F435" s="8" t="s">
        <v>1032</v>
      </c>
      <c r="G435" s="8" t="s">
        <v>1366</v>
      </c>
      <c r="H435" s="65" t="str">
        <f>IF(LEN(D435)&lt;33,"OK","Fehler")</f>
        <v>OK</v>
      </c>
      <c r="I435" s="65" t="str">
        <f>IF(LEN(E435)&lt;33,"OK","Fehler")</f>
        <v>OK</v>
      </c>
      <c r="J435" s="65" t="str">
        <f>IF(LEN(F435)&lt;33,"OK","Fehler")</f>
        <v>OK</v>
      </c>
      <c r="K435" s="65" t="str">
        <f>IF(LEN(G435)&lt;33,"OK","Fehler")</f>
        <v>OK</v>
      </c>
    </row>
    <row r="436" spans="1:11">
      <c r="A436" s="63"/>
      <c r="B436" s="34"/>
      <c r="C436" s="34" t="str">
        <f t="shared" si="13"/>
        <v>Wählen Sie Ja, wenn die Wärmeverteilungen mehrheitlich ersetzt oder neu erstellt werden.</v>
      </c>
      <c r="D436" s="8" t="s">
        <v>422</v>
      </c>
      <c r="E436" s="8" t="s">
        <v>1268</v>
      </c>
      <c r="F436" s="8" t="s">
        <v>1033</v>
      </c>
      <c r="G436" s="8" t="s">
        <v>1368</v>
      </c>
      <c r="H436" s="65" t="str">
        <f>IF(LEN(D436)&lt;256,"OK","Fehler")</f>
        <v>OK</v>
      </c>
      <c r="I436" s="65" t="str">
        <f>IF(LEN(E436)&lt;256,"OK","Fehler")</f>
        <v>OK</v>
      </c>
      <c r="J436" s="65" t="str">
        <f>IF(LEN(F436)&lt;256,"OK","Fehler")</f>
        <v>OK</v>
      </c>
      <c r="K436" s="65" t="str">
        <f>IF(LEN(G436)&lt;256,"OK","Fehler")</f>
        <v>OK</v>
      </c>
    </row>
    <row r="437" spans="1:11">
      <c r="A437" s="63"/>
      <c r="B437" s="34"/>
      <c r="C437" s="34" t="str">
        <f t="shared" si="13"/>
        <v>Fehler</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Sie müssen einen Eintrag aus der Liste wählen.</v>
      </c>
      <c r="D438" s="8" t="s">
        <v>12</v>
      </c>
      <c r="E438" s="8" t="s">
        <v>1266</v>
      </c>
      <c r="F438" s="8" t="s">
        <v>1018</v>
      </c>
      <c r="G438" s="8" t="s">
        <v>1352</v>
      </c>
      <c r="H438" s="65" t="str">
        <f>IF(LEN(D438)&lt;256,"OK","Fehler")</f>
        <v>OK</v>
      </c>
      <c r="I438" s="65" t="str">
        <f>IF(LEN(E438)&lt;256,"OK","Fehler")</f>
        <v>OK</v>
      </c>
      <c r="J438" s="65" t="str">
        <f>IF(LEN(F438)&lt;256,"OK","Fehler")</f>
        <v>OK</v>
      </c>
      <c r="K438" s="65" t="str">
        <f>IF(LEN(G438)&lt;256,"OK","Fehler")</f>
        <v>OK</v>
      </c>
    </row>
    <row r="439" spans="1:11">
      <c r="A439" s="63">
        <v>2</v>
      </c>
      <c r="B439" s="34" t="s">
        <v>400</v>
      </c>
      <c r="C439" s="34" t="str">
        <f t="shared" ref="C439:C470" si="14">INDEX($D439:$G439,1,MATCH(Sprachwahl,ListSprache,0))</f>
        <v>Lüftungsanlagen</v>
      </c>
      <c r="D439" s="8" t="s">
        <v>420</v>
      </c>
      <c r="E439" s="8" t="s">
        <v>1269</v>
      </c>
      <c r="F439" s="8" t="s">
        <v>1034</v>
      </c>
      <c r="G439" s="8" t="s">
        <v>1369</v>
      </c>
      <c r="H439" s="65" t="str">
        <f>IF(LEN(D439)&lt;33,"OK","Fehler")</f>
        <v>OK</v>
      </c>
      <c r="I439" s="65" t="str">
        <f>IF(LEN(E439)&lt;33,"OK","Fehler")</f>
        <v>OK</v>
      </c>
      <c r="J439" s="65" t="str">
        <f>IF(LEN(F439)&lt;33,"OK","Fehler")</f>
        <v>OK</v>
      </c>
      <c r="K439" s="65" t="str">
        <f>IF(LEN(G439)&lt;33,"OK","Fehler")</f>
        <v>OK</v>
      </c>
    </row>
    <row r="440" spans="1:11">
      <c r="A440" s="63"/>
      <c r="B440" s="34"/>
      <c r="C440" s="34" t="str">
        <f t="shared" si="14"/>
        <v>Wählen Sie Ja, wenn die Lüftungsanlagen mehrheitlich ersetzt oder neu eingebaut werden.</v>
      </c>
      <c r="D440" s="8" t="s">
        <v>419</v>
      </c>
      <c r="E440" s="8" t="s">
        <v>1270</v>
      </c>
      <c r="F440" s="8" t="s">
        <v>1035</v>
      </c>
      <c r="G440" s="8" t="s">
        <v>1370</v>
      </c>
      <c r="H440" s="65" t="str">
        <f>IF(LEN(D440)&lt;256,"OK","Fehler")</f>
        <v>OK</v>
      </c>
      <c r="I440" s="65" t="str">
        <f>IF(LEN(E440)&lt;256,"OK","Fehler")</f>
        <v>OK</v>
      </c>
      <c r="J440" s="65" t="str">
        <f>IF(LEN(F440)&lt;256,"OK","Fehler")</f>
        <v>OK</v>
      </c>
      <c r="K440" s="65" t="str">
        <f>IF(LEN(G440)&lt;256,"OK","Fehler")</f>
        <v>OK</v>
      </c>
    </row>
    <row r="441" spans="1:11">
      <c r="A441" s="63"/>
      <c r="B441" s="34"/>
      <c r="C441" s="34" t="str">
        <f t="shared" si="14"/>
        <v>Fehler</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Sie müssen einen Eintrag aus der Liste wählen.</v>
      </c>
      <c r="D442" s="8" t="s">
        <v>12</v>
      </c>
      <c r="E442" s="8" t="s">
        <v>1266</v>
      </c>
      <c r="F442" s="8" t="s">
        <v>1018</v>
      </c>
      <c r="G442" s="8" t="s">
        <v>1352</v>
      </c>
      <c r="H442" s="65" t="str">
        <f>IF(LEN(D442)&lt;256,"OK","Fehler")</f>
        <v>OK</v>
      </c>
      <c r="I442" s="65" t="str">
        <f>IF(LEN(E442)&lt;256,"OK","Fehler")</f>
        <v>OK</v>
      </c>
      <c r="J442" s="65" t="str">
        <f>IF(LEN(F442)&lt;256,"OK","Fehler")</f>
        <v>OK</v>
      </c>
      <c r="K442" s="65" t="str">
        <f>IF(LEN(G442)&lt;256,"OK","Fehler")</f>
        <v>OK</v>
      </c>
    </row>
    <row r="443" spans="1:11">
      <c r="A443" s="63">
        <v>2</v>
      </c>
      <c r="B443" s="34" t="s">
        <v>401</v>
      </c>
      <c r="C443" s="34" t="str">
        <f t="shared" si="14"/>
        <v>Elektroanlagen</v>
      </c>
      <c r="D443" s="8" t="s">
        <v>346</v>
      </c>
      <c r="E443" s="8" t="s">
        <v>1271</v>
      </c>
      <c r="F443" s="8" t="s">
        <v>1036</v>
      </c>
      <c r="G443" s="8" t="s">
        <v>1371</v>
      </c>
      <c r="H443" s="65" t="str">
        <f>IF(LEN(D443)&lt;33,"OK","Fehler")</f>
        <v>OK</v>
      </c>
      <c r="I443" s="65" t="str">
        <f>IF(LEN(E443)&lt;33,"OK","Fehler")</f>
        <v>OK</v>
      </c>
      <c r="J443" s="65" t="str">
        <f>IF(LEN(F443)&lt;33,"OK","Fehler")</f>
        <v>OK</v>
      </c>
      <c r="K443" s="65" t="str">
        <f>IF(LEN(G443)&lt;33,"OK","Fehler")</f>
        <v>OK</v>
      </c>
    </row>
    <row r="444" spans="1:11">
      <c r="A444" s="63"/>
      <c r="B444" s="34"/>
      <c r="C444" s="34" t="str">
        <f t="shared" si="14"/>
        <v>Wählen Sie Ja, wenn die Elektroinstallationen mehrheitlich ersetzt oder neu eingebaut werden.</v>
      </c>
      <c r="D444" s="8" t="s">
        <v>418</v>
      </c>
      <c r="E444" s="8" t="s">
        <v>1272</v>
      </c>
      <c r="F444" s="8" t="s">
        <v>1037</v>
      </c>
      <c r="G444" s="8" t="s">
        <v>1372</v>
      </c>
      <c r="H444" s="65" t="str">
        <f>IF(LEN(D444)&lt;256,"OK","Fehler")</f>
        <v>OK</v>
      </c>
      <c r="I444" s="65" t="str">
        <f>IF(LEN(E444)&lt;256,"OK","Fehler")</f>
        <v>OK</v>
      </c>
      <c r="J444" s="65" t="str">
        <f>IF(LEN(F444)&lt;256,"OK","Fehler")</f>
        <v>OK</v>
      </c>
      <c r="K444" s="65" t="str">
        <f>IF(LEN(G444)&lt;256,"OK","Fehler")</f>
        <v>OK</v>
      </c>
    </row>
    <row r="445" spans="1:11">
      <c r="A445" s="63"/>
      <c r="B445" s="34"/>
      <c r="C445" s="34" t="str">
        <f t="shared" si="14"/>
        <v>Fehler</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Sie müssen einen Eintrag aus der Liste wählen.</v>
      </c>
      <c r="D446" s="8" t="s">
        <v>12</v>
      </c>
      <c r="E446" s="8" t="s">
        <v>1266</v>
      </c>
      <c r="F446" s="8" t="s">
        <v>1018</v>
      </c>
      <c r="G446" s="8" t="s">
        <v>1352</v>
      </c>
      <c r="H446" s="65" t="str">
        <f>IF(LEN(D446)&lt;256,"OK","Fehler")</f>
        <v>OK</v>
      </c>
      <c r="I446" s="65" t="str">
        <f>IF(LEN(E446)&lt;256,"OK","Fehler")</f>
        <v>OK</v>
      </c>
      <c r="J446" s="65" t="str">
        <f>IF(LEN(F446)&lt;256,"OK","Fehler")</f>
        <v>OK</v>
      </c>
      <c r="K446" s="65" t="str">
        <f>IF(LEN(G446)&lt;256,"OK","Fehler")</f>
        <v>OK</v>
      </c>
    </row>
    <row r="447" spans="1:11">
      <c r="A447" s="63">
        <v>2</v>
      </c>
      <c r="B447" s="34" t="s">
        <v>2333</v>
      </c>
      <c r="C447" s="34" t="str">
        <f t="shared" si="14"/>
        <v>Grundrisstyp</v>
      </c>
      <c r="D447" s="8" t="s">
        <v>316</v>
      </c>
      <c r="E447" s="8" t="s">
        <v>1091</v>
      </c>
      <c r="F447" s="8" t="s">
        <v>1038</v>
      </c>
      <c r="G447" s="8" t="s">
        <v>1373</v>
      </c>
      <c r="H447" s="65" t="str">
        <f>IF(LEN(D447)&lt;33,"OK","Fehler")</f>
        <v>OK</v>
      </c>
      <c r="I447" s="65" t="str">
        <f>IF(LEN(E447)&lt;33,"OK","Fehler")</f>
        <v>OK</v>
      </c>
      <c r="J447" s="65" t="str">
        <f>IF(LEN(F447)&lt;33,"OK","Fehler")</f>
        <v>OK</v>
      </c>
      <c r="K447" s="65" t="str">
        <f>IF(LEN(G447)&lt;33,"OK","Fehler")</f>
        <v>OK</v>
      </c>
    </row>
    <row r="448" spans="1:11">
      <c r="A448" s="63"/>
      <c r="B448" s="34"/>
      <c r="C448" s="34" t="str">
        <f t="shared" si="14"/>
        <v>Wählen Sie den am besten zutreffenden Grundriss-Typ aus der Liste.</v>
      </c>
      <c r="D448" s="8" t="s">
        <v>423</v>
      </c>
      <c r="E448" s="8" t="s">
        <v>1273</v>
      </c>
      <c r="F448" s="8" t="s">
        <v>1039</v>
      </c>
      <c r="G448" s="8" t="s">
        <v>1374</v>
      </c>
      <c r="H448" s="65" t="str">
        <f>IF(LEN(D448)&lt;256,"OK","Fehler")</f>
        <v>OK</v>
      </c>
      <c r="I448" s="65" t="str">
        <f>IF(LEN(E448)&lt;256,"OK","Fehler")</f>
        <v>OK</v>
      </c>
      <c r="J448" s="65" t="str">
        <f>IF(LEN(F448)&lt;256,"OK","Fehler")</f>
        <v>OK</v>
      </c>
      <c r="K448" s="65" t="str">
        <f>IF(LEN(G448)&lt;256,"OK","Fehler")</f>
        <v>OK</v>
      </c>
    </row>
    <row r="449" spans="1:11">
      <c r="A449" s="63"/>
      <c r="B449" s="34"/>
      <c r="C449" s="34" t="str">
        <f t="shared" si="14"/>
        <v>Fehler</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Sie müssen einen Eintrag aus der Liste wählen.</v>
      </c>
      <c r="D450" s="8" t="s">
        <v>12</v>
      </c>
      <c r="E450" s="8" t="s">
        <v>1266</v>
      </c>
      <c r="F450" s="8" t="s">
        <v>1018</v>
      </c>
      <c r="G450" s="8" t="s">
        <v>1352</v>
      </c>
      <c r="H450" s="65" t="str">
        <f>IF(LEN(D450)&lt;256,"OK","Fehler")</f>
        <v>OK</v>
      </c>
      <c r="I450" s="65" t="str">
        <f>IF(LEN(E450)&lt;256,"OK","Fehler")</f>
        <v>OK</v>
      </c>
      <c r="J450" s="65" t="str">
        <f>IF(LEN(F450)&lt;256,"OK","Fehler")</f>
        <v>OK</v>
      </c>
      <c r="K450" s="65" t="str">
        <f>IF(LEN(G450)&lt;256,"OK","Fehler")</f>
        <v>OK</v>
      </c>
    </row>
    <row r="451" spans="1:11">
      <c r="A451" s="63">
        <v>2</v>
      </c>
      <c r="B451" s="34" t="s">
        <v>2334</v>
      </c>
      <c r="C451" s="34" t="str">
        <f t="shared" si="14"/>
        <v>Geschossfläche</v>
      </c>
      <c r="D451" s="8" t="s">
        <v>178</v>
      </c>
      <c r="E451" s="8" t="s">
        <v>1274</v>
      </c>
      <c r="F451" s="8" t="s">
        <v>1040</v>
      </c>
      <c r="G451" s="8" t="s">
        <v>1375</v>
      </c>
      <c r="H451" s="65" t="str">
        <f>IF(LEN(D451)&lt;33,"OK","Fehler")</f>
        <v>OK</v>
      </c>
      <c r="I451" s="65" t="str">
        <f>IF(LEN(E451)&lt;33,"OK","Fehler")</f>
        <v>OK</v>
      </c>
      <c r="J451" s="65" t="str">
        <f>IF(LEN(F451)&lt;33,"OK","Fehler")</f>
        <v>OK</v>
      </c>
      <c r="K451" s="65" t="str">
        <f>IF(LEN(G451)&lt;33,"OK","Fehler")</f>
        <v>OK</v>
      </c>
    </row>
    <row r="452" spans="1:11">
      <c r="A452" s="63"/>
      <c r="B452" s="34"/>
      <c r="C452" s="34" t="str">
        <f t="shared" si="14"/>
        <v>Geben Sie die Geschossfläche (inkl. unbeheizte Flächen im Gebäude) ein.</v>
      </c>
      <c r="D452" s="8" t="s">
        <v>424</v>
      </c>
      <c r="E452" s="8" t="s">
        <v>1275</v>
      </c>
      <c r="F452" s="8" t="s">
        <v>1041</v>
      </c>
      <c r="G452" s="8" t="s">
        <v>1376</v>
      </c>
      <c r="H452" s="65" t="str">
        <f>IF(LEN(D452)&lt;256,"OK","Fehler")</f>
        <v>OK</v>
      </c>
      <c r="I452" s="65" t="str">
        <f>IF(LEN(E452)&lt;256,"OK","Fehler")</f>
        <v>OK</v>
      </c>
      <c r="J452" s="65" t="str">
        <f>IF(LEN(F452)&lt;256,"OK","Fehler")</f>
        <v>OK</v>
      </c>
      <c r="K452" s="65" t="str">
        <f>IF(LEN(G452)&lt;256,"OK","Fehler")</f>
        <v>OK</v>
      </c>
    </row>
    <row r="453" spans="1:11">
      <c r="A453" s="63"/>
      <c r="B453" s="34"/>
      <c r="C453" s="34" t="str">
        <f t="shared" si="14"/>
        <v>Fehler</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Sie müssen Werte zwischen 0 und 300'000 eingeben.</v>
      </c>
      <c r="D454" s="8" t="s">
        <v>425</v>
      </c>
      <c r="E454" s="8" t="s">
        <v>1276</v>
      </c>
      <c r="F454" s="8" t="s">
        <v>1042</v>
      </c>
      <c r="G454" s="8" t="s">
        <v>1377</v>
      </c>
      <c r="H454" s="65" t="str">
        <f>IF(LEN(D454)&lt;256,"OK","Fehler")</f>
        <v>OK</v>
      </c>
      <c r="I454" s="65" t="str">
        <f>IF(LEN(E454)&lt;256,"OK","Fehler")</f>
        <v>OK</v>
      </c>
      <c r="J454" s="65" t="str">
        <f>IF(LEN(F454)&lt;256,"OK","Fehler")</f>
        <v>OK</v>
      </c>
      <c r="K454" s="65" t="str">
        <f>IF(LEN(G454)&lt;256,"OK","Fehler")</f>
        <v>OK</v>
      </c>
    </row>
    <row r="455" spans="1:11">
      <c r="A455" s="63">
        <v>2</v>
      </c>
      <c r="B455" s="34" t="s">
        <v>2335</v>
      </c>
      <c r="C455" s="34" t="str">
        <f t="shared" si="14"/>
        <v>Geschossfläche in Untergesch.</v>
      </c>
      <c r="D455" s="8" t="s">
        <v>1639</v>
      </c>
      <c r="E455" s="8" t="s">
        <v>1640</v>
      </c>
      <c r="F455" s="8" t="s">
        <v>1043</v>
      </c>
      <c r="G455" s="8" t="s">
        <v>1378</v>
      </c>
      <c r="H455" s="65" t="str">
        <f>IF(LEN(D455)&lt;33,"OK","Fehler")</f>
        <v>OK</v>
      </c>
      <c r="I455" s="65" t="str">
        <f>IF(LEN(E455)&lt;33,"OK","Fehler")</f>
        <v>OK</v>
      </c>
      <c r="J455" s="65" t="str">
        <f>IF(LEN(F455)&lt;33,"OK","Fehler")</f>
        <v>OK</v>
      </c>
      <c r="K455" s="65" t="str">
        <f>IF(LEN(G455)&lt;33,"OK","Fehler")</f>
        <v>OK</v>
      </c>
    </row>
    <row r="456" spans="1:11">
      <c r="A456" s="63"/>
      <c r="B456" s="34"/>
      <c r="C456" s="34" t="str">
        <f t="shared" si="14"/>
        <v>Geben Sie die Geschossfläche in den UG's ein.</v>
      </c>
      <c r="D456" s="8" t="s">
        <v>426</v>
      </c>
      <c r="E456" s="8" t="s">
        <v>1277</v>
      </c>
      <c r="F456" s="8" t="s">
        <v>1044</v>
      </c>
      <c r="G456" s="8" t="s">
        <v>1379</v>
      </c>
      <c r="H456" s="65" t="str">
        <f>IF(LEN(D456)&lt;256,"OK","Fehler")</f>
        <v>OK</v>
      </c>
      <c r="I456" s="65" t="str">
        <f>IF(LEN(E456)&lt;256,"OK","Fehler")</f>
        <v>OK</v>
      </c>
      <c r="J456" s="65" t="str">
        <f>IF(LEN(F456)&lt;256,"OK","Fehler")</f>
        <v>OK</v>
      </c>
      <c r="K456" s="65" t="str">
        <f>IF(LEN(G456)&lt;256,"OK","Fehler")</f>
        <v>OK</v>
      </c>
    </row>
    <row r="457" spans="1:11">
      <c r="A457" s="63"/>
      <c r="B457" s="34"/>
      <c r="C457" s="34" t="str">
        <f t="shared" si="14"/>
        <v>Fehler</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Sie müssen Werte zwischen 0 und dem Wert der Geschossfläche eingeben.</v>
      </c>
      <c r="D458" s="8" t="s">
        <v>427</v>
      </c>
      <c r="E458" s="8" t="s">
        <v>1278</v>
      </c>
      <c r="F458" s="8" t="s">
        <v>1045</v>
      </c>
      <c r="G458" s="8" t="s">
        <v>1380</v>
      </c>
      <c r="H458" s="65" t="str">
        <f>IF(LEN(D458)&lt;256,"OK","Fehler")</f>
        <v>OK</v>
      </c>
      <c r="I458" s="65" t="str">
        <f>IF(LEN(E458)&lt;256,"OK","Fehler")</f>
        <v>OK</v>
      </c>
      <c r="J458" s="65" t="str">
        <f>IF(LEN(F458)&lt;256,"OK","Fehler")</f>
        <v>OK</v>
      </c>
      <c r="K458" s="65" t="str">
        <f>IF(LEN(G458)&lt;256,"OK","Fehler")</f>
        <v>OK</v>
      </c>
    </row>
    <row r="459" spans="1:11">
      <c r="A459" s="63">
        <v>2</v>
      </c>
      <c r="B459" s="34" t="s">
        <v>2336</v>
      </c>
      <c r="C459" s="34" t="str">
        <f t="shared" si="14"/>
        <v>Stockwerke unter Terrain</v>
      </c>
      <c r="D459" s="8" t="s">
        <v>428</v>
      </c>
      <c r="E459" s="8" t="s">
        <v>1279</v>
      </c>
      <c r="F459" s="8" t="s">
        <v>1046</v>
      </c>
      <c r="G459" s="8" t="s">
        <v>1381</v>
      </c>
      <c r="H459" s="65" t="str">
        <f>IF(LEN(D459)&lt;33,"OK","Fehler")</f>
        <v>OK</v>
      </c>
      <c r="I459" s="65" t="str">
        <f>IF(LEN(E459)&lt;33,"OK","Fehler")</f>
        <v>OK</v>
      </c>
      <c r="J459" s="65" t="str">
        <f>IF(LEN(F459)&lt;33,"OK","Fehler")</f>
        <v>OK</v>
      </c>
      <c r="K459" s="65" t="str">
        <f>IF(LEN(G459)&lt;33,"OK","Fehler")</f>
        <v>OK</v>
      </c>
    </row>
    <row r="460" spans="1:11">
      <c r="A460" s="63"/>
      <c r="B460" s="34"/>
      <c r="C460" s="34" t="str">
        <f t="shared" si="14"/>
        <v>Geben Sie die Anzahl der Geschosse unter Terrain ein (Dezimalzahlen sind erlaubt).</v>
      </c>
      <c r="D460" s="8" t="s">
        <v>429</v>
      </c>
      <c r="E460" s="8" t="s">
        <v>1280</v>
      </c>
      <c r="F460" s="8" t="s">
        <v>1047</v>
      </c>
      <c r="G460" s="8" t="s">
        <v>1382</v>
      </c>
      <c r="H460" s="65" t="str">
        <f>IF(LEN(D460)&lt;256,"OK","Fehler")</f>
        <v>OK</v>
      </c>
      <c r="I460" s="65" t="str">
        <f>IF(LEN(E460)&lt;256,"OK","Fehler")</f>
        <v>OK</v>
      </c>
      <c r="J460" s="65" t="str">
        <f>IF(LEN(F460)&lt;256,"OK","Fehler")</f>
        <v>OK</v>
      </c>
      <c r="K460" s="65" t="str">
        <f>IF(LEN(G460)&lt;256,"OK","Fehler")</f>
        <v>OK</v>
      </c>
    </row>
    <row r="461" spans="1:11">
      <c r="A461" s="63"/>
      <c r="B461" s="34"/>
      <c r="C461" s="34" t="str">
        <f t="shared" si="14"/>
        <v>Fehler</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Sie müssen Werte zwischen 0 und 10 eingeben.</v>
      </c>
      <c r="D462" s="8" t="s">
        <v>430</v>
      </c>
      <c r="E462" s="8" t="s">
        <v>1281</v>
      </c>
      <c r="F462" s="8" t="s">
        <v>1048</v>
      </c>
      <c r="G462" s="8" t="s">
        <v>1383</v>
      </c>
      <c r="H462" s="65" t="str">
        <f>IF(LEN(D462)&lt;256,"OK","Fehler")</f>
        <v>OK</v>
      </c>
      <c r="I462" s="65" t="str">
        <f>IF(LEN(E462)&lt;256,"OK","Fehler")</f>
        <v>OK</v>
      </c>
      <c r="J462" s="65" t="str">
        <f>IF(LEN(F462)&lt;256,"OK","Fehler")</f>
        <v>OK</v>
      </c>
      <c r="K462" s="65" t="str">
        <f>IF(LEN(G462)&lt;256,"OK","Fehler")</f>
        <v>OK</v>
      </c>
    </row>
    <row r="463" spans="1:11">
      <c r="A463" s="63">
        <v>2</v>
      </c>
      <c r="B463" s="34" t="s">
        <v>2337</v>
      </c>
      <c r="C463" s="34" t="str">
        <f t="shared" si="14"/>
        <v>Thermische Solaranlage</v>
      </c>
      <c r="D463" s="8" t="s">
        <v>431</v>
      </c>
      <c r="E463" s="8" t="s">
        <v>1282</v>
      </c>
      <c r="F463" s="8" t="s">
        <v>1049</v>
      </c>
      <c r="G463" s="8" t="s">
        <v>1384</v>
      </c>
      <c r="H463" s="65" t="str">
        <f>IF(LEN(D463)&lt;33,"OK","Fehler")</f>
        <v>OK</v>
      </c>
      <c r="I463" s="65" t="str">
        <f>IF(LEN(E463)&lt;33,"OK","Fehler")</f>
        <v>OK</v>
      </c>
      <c r="J463" s="65" t="str">
        <f>IF(LEN(F463)&lt;33,"OK","Fehler")</f>
        <v>OK</v>
      </c>
      <c r="K463" s="65" t="str">
        <f>IF(LEN(G463)&lt;33,"OK","Fehler")</f>
        <v>OK</v>
      </c>
    </row>
    <row r="464" spans="1:11">
      <c r="A464" s="63"/>
      <c r="B464" s="34"/>
      <c r="C464" s="34" t="str">
        <f t="shared" si="14"/>
        <v>Geben Sie die Nettofläche der Absorber ein.</v>
      </c>
      <c r="D464" s="8" t="s">
        <v>432</v>
      </c>
      <c r="E464" s="8" t="s">
        <v>1283</v>
      </c>
      <c r="F464" s="8" t="s">
        <v>1050</v>
      </c>
      <c r="G464" s="8" t="s">
        <v>1385</v>
      </c>
      <c r="H464" s="65" t="str">
        <f>IF(LEN(D464)&lt;256,"OK","Fehler")</f>
        <v>OK</v>
      </c>
      <c r="I464" s="65" t="str">
        <f>IF(LEN(E464)&lt;256,"OK","Fehler")</f>
        <v>OK</v>
      </c>
      <c r="J464" s="65" t="str">
        <f>IF(LEN(F464)&lt;256,"OK","Fehler")</f>
        <v>OK</v>
      </c>
      <c r="K464" s="65" t="str">
        <f>IF(LEN(G464)&lt;256,"OK","Fehler")</f>
        <v>OK</v>
      </c>
    </row>
    <row r="465" spans="1:11">
      <c r="A465" s="63"/>
      <c r="B465" s="34"/>
      <c r="C465" s="34" t="str">
        <f t="shared" si="14"/>
        <v>Fehler</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Sie müssen Werte zwischen 0 und der 2.5-fachen Geschossfläche eingeben.</v>
      </c>
      <c r="D466" s="8" t="s">
        <v>415</v>
      </c>
      <c r="E466" s="8" t="s">
        <v>1284</v>
      </c>
      <c r="F466" s="8" t="s">
        <v>1030</v>
      </c>
      <c r="G466" s="8" t="s">
        <v>1364</v>
      </c>
      <c r="H466" s="65" t="str">
        <f>IF(LEN(D466)&lt;256,"OK","Fehler")</f>
        <v>OK</v>
      </c>
      <c r="I466" s="65" t="str">
        <f>IF(LEN(E466)&lt;256,"OK","Fehler")</f>
        <v>OK</v>
      </c>
      <c r="J466" s="65" t="str">
        <f>IF(LEN(F466)&lt;256,"OK","Fehler")</f>
        <v>OK</v>
      </c>
      <c r="K466" s="65" t="str">
        <f>IF(LEN(G466)&lt;256,"OK","Fehler")</f>
        <v>OK</v>
      </c>
    </row>
    <row r="467" spans="1:11">
      <c r="A467" s="63">
        <v>2</v>
      </c>
      <c r="B467" s="34" t="s">
        <v>2338</v>
      </c>
      <c r="C467" s="34" t="str">
        <f t="shared" si="14"/>
        <v>Wärmeerzeugung</v>
      </c>
      <c r="D467" s="8" t="s">
        <v>248</v>
      </c>
      <c r="E467" s="8" t="s">
        <v>1285</v>
      </c>
      <c r="F467" s="8" t="s">
        <v>1051</v>
      </c>
      <c r="G467" s="8" t="s">
        <v>1386</v>
      </c>
      <c r="H467" s="65" t="str">
        <f>IF(LEN(D467)&lt;33,"OK","Fehler")</f>
        <v>OK</v>
      </c>
      <c r="I467" s="65" t="str">
        <f>IF(LEN(E467)&lt;33,"OK","Fehler")</f>
        <v>OK</v>
      </c>
      <c r="J467" s="65" t="str">
        <f>IF(LEN(F467)&lt;33,"OK","Fehler")</f>
        <v>OK</v>
      </c>
      <c r="K467" s="65" t="str">
        <f>IF(LEN(G467)&lt;33,"OK","Fehler")</f>
        <v>OK</v>
      </c>
    </row>
    <row r="468" spans="1:11">
      <c r="A468" s="63"/>
      <c r="B468" s="34"/>
      <c r="C468" s="34" t="str">
        <f t="shared" si="14"/>
        <v>Wählen Sie Ja, wenn die Wärmeerzeugung mehrheitlich ersetzt oder neu eingebaut wird.</v>
      </c>
      <c r="D468" s="8" t="s">
        <v>433</v>
      </c>
      <c r="E468" s="8" t="s">
        <v>1286</v>
      </c>
      <c r="F468" s="8" t="s">
        <v>1052</v>
      </c>
      <c r="G468" s="8" t="s">
        <v>1387</v>
      </c>
      <c r="H468" s="65" t="str">
        <f>IF(LEN(D468)&lt;256,"OK","Fehler")</f>
        <v>OK</v>
      </c>
      <c r="I468" s="65" t="str">
        <f>IF(LEN(E468)&lt;256,"OK","Fehler")</f>
        <v>OK</v>
      </c>
      <c r="J468" s="65" t="str">
        <f>IF(LEN(F468)&lt;256,"OK","Fehler")</f>
        <v>OK</v>
      </c>
      <c r="K468" s="65" t="str">
        <f>IF(LEN(G468)&lt;256,"OK","Fehler")</f>
        <v>OK</v>
      </c>
    </row>
    <row r="469" spans="1:11">
      <c r="A469" s="63"/>
      <c r="B469" s="34"/>
      <c r="C469" s="34" t="str">
        <f t="shared" si="14"/>
        <v>Fehler</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Sie müssen einen Eintrag aus der Liste wählen.</v>
      </c>
      <c r="D470" s="8" t="s">
        <v>12</v>
      </c>
      <c r="E470" s="8" t="s">
        <v>1266</v>
      </c>
      <c r="F470" s="8" t="s">
        <v>1018</v>
      </c>
      <c r="G470" s="8" t="s">
        <v>1352</v>
      </c>
      <c r="H470" s="65" t="str">
        <f>IF(LEN(D470)&lt;256,"OK","Fehler")</f>
        <v>OK</v>
      </c>
      <c r="I470" s="65" t="str">
        <f>IF(LEN(E470)&lt;256,"OK","Fehler")</f>
        <v>OK</v>
      </c>
      <c r="J470" s="65" t="str">
        <f>IF(LEN(F470)&lt;256,"OK","Fehler")</f>
        <v>OK</v>
      </c>
      <c r="K470" s="65" t="str">
        <f>IF(LEN(G470)&lt;256,"OK","Fehler")</f>
        <v>OK</v>
      </c>
    </row>
    <row r="471" spans="1:11">
      <c r="A471" s="63">
        <v>2</v>
      </c>
      <c r="B471" s="34" t="s">
        <v>2339</v>
      </c>
      <c r="C471" s="34" t="str">
        <f t="shared" ref="C471:C498" si="15">INDEX($D471:$G471,1,MATCH(Sprachwahl,ListSprache,0))</f>
        <v>Wärmeabgabe</v>
      </c>
      <c r="D471" s="8" t="s">
        <v>345</v>
      </c>
      <c r="E471" s="8" t="s">
        <v>1287</v>
      </c>
      <c r="F471" s="8" t="s">
        <v>1053</v>
      </c>
      <c r="G471" s="8" t="s">
        <v>1388</v>
      </c>
      <c r="H471" s="65" t="str">
        <f>IF(LEN(D471)&lt;33,"OK","Fehler")</f>
        <v>OK</v>
      </c>
      <c r="I471" s="65" t="str">
        <f>IF(LEN(E471)&lt;33,"OK","Fehler")</f>
        <v>OK</v>
      </c>
      <c r="J471" s="65" t="str">
        <f>IF(LEN(F471)&lt;33,"OK","Fehler")</f>
        <v>OK</v>
      </c>
      <c r="K471" s="65" t="str">
        <f>IF(LEN(G471)&lt;33,"OK","Fehler")</f>
        <v>OK</v>
      </c>
    </row>
    <row r="472" spans="1:11">
      <c r="A472" s="63"/>
      <c r="B472" s="34"/>
      <c r="C472" s="34" t="str">
        <f t="shared" si="15"/>
        <v>Wählen Sie Ja, wenn die Wärmeabgabe (Heizkörper etc.) mehrheitlich ersetzt oder neu eingebaut wird.</v>
      </c>
      <c r="D472" s="8" t="s">
        <v>434</v>
      </c>
      <c r="E472" s="8" t="s">
        <v>1288</v>
      </c>
      <c r="F472" s="8" t="s">
        <v>1054</v>
      </c>
      <c r="G472" s="8" t="s">
        <v>1389</v>
      </c>
      <c r="H472" s="65" t="str">
        <f>IF(LEN(D472)&lt;256,"OK","Fehler")</f>
        <v>OK</v>
      </c>
      <c r="I472" s="65" t="str">
        <f>IF(LEN(E472)&lt;256,"OK","Fehler")</f>
        <v>OK</v>
      </c>
      <c r="J472" s="65" t="str">
        <f>IF(LEN(F472)&lt;256,"OK","Fehler")</f>
        <v>OK</v>
      </c>
      <c r="K472" s="65" t="str">
        <f>IF(LEN(G472)&lt;256,"OK","Fehler")</f>
        <v>OK</v>
      </c>
    </row>
    <row r="473" spans="1:11">
      <c r="A473" s="63"/>
      <c r="B473" s="34"/>
      <c r="C473" s="34" t="str">
        <f t="shared" si="15"/>
        <v>Fehler</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Sie müssen einen Eintrag aus der Liste wählen.</v>
      </c>
      <c r="D474" s="8" t="s">
        <v>12</v>
      </c>
      <c r="E474" s="8" t="s">
        <v>1266</v>
      </c>
      <c r="F474" s="8" t="s">
        <v>1018</v>
      </c>
      <c r="G474" s="8" t="s">
        <v>1352</v>
      </c>
      <c r="H474" s="65" t="str">
        <f>IF(LEN(D474)&lt;256,"OK","Fehler")</f>
        <v>OK</v>
      </c>
      <c r="I474" s="65" t="str">
        <f>IF(LEN(E474)&lt;256,"OK","Fehler")</f>
        <v>OK</v>
      </c>
      <c r="J474" s="65" t="str">
        <f>IF(LEN(F474)&lt;256,"OK","Fehler")</f>
        <v>OK</v>
      </c>
      <c r="K474" s="65" t="str">
        <f>IF(LEN(G474)&lt;256,"OK","Fehler")</f>
        <v>OK</v>
      </c>
    </row>
    <row r="475" spans="1:11">
      <c r="A475" s="63">
        <v>2</v>
      </c>
      <c r="B475" s="34" t="s">
        <v>2340</v>
      </c>
      <c r="C475" s="34" t="str">
        <f t="shared" si="15"/>
        <v>Sanitäranlagen</v>
      </c>
      <c r="D475" s="8" t="s">
        <v>342</v>
      </c>
      <c r="E475" s="8" t="s">
        <v>1289</v>
      </c>
      <c r="F475" s="8" t="s">
        <v>1055</v>
      </c>
      <c r="G475" s="8" t="s">
        <v>1390</v>
      </c>
      <c r="H475" s="65" t="str">
        <f>IF(LEN(D475)&lt;33,"OK","Fehler")</f>
        <v>OK</v>
      </c>
      <c r="I475" s="65" t="str">
        <f>IF(LEN(E475)&lt;33,"OK","Fehler")</f>
        <v>OK</v>
      </c>
      <c r="J475" s="65" t="str">
        <f>IF(LEN(F475)&lt;33,"OK","Fehler")</f>
        <v>OK</v>
      </c>
      <c r="K475" s="65" t="str">
        <f>IF(LEN(G475)&lt;33,"OK","Fehler")</f>
        <v>OK</v>
      </c>
    </row>
    <row r="476" spans="1:11">
      <c r="A476" s="63"/>
      <c r="B476" s="34"/>
      <c r="C476" s="34" t="str">
        <f t="shared" si="15"/>
        <v>Wählen Sie Ja, wenn die Sanitäranlagen mehrheitlich ersetzt oder neu eingebaut werden.</v>
      </c>
      <c r="D476" s="8" t="s">
        <v>435</v>
      </c>
      <c r="E476" s="8" t="s">
        <v>1290</v>
      </c>
      <c r="F476" s="8" t="s">
        <v>1056</v>
      </c>
      <c r="G476" s="8" t="s">
        <v>1391</v>
      </c>
      <c r="H476" s="65" t="str">
        <f>IF(LEN(D476)&lt;256,"OK","Fehler")</f>
        <v>OK</v>
      </c>
      <c r="I476" s="65" t="str">
        <f>IF(LEN(E476)&lt;256,"OK","Fehler")</f>
        <v>OK</v>
      </c>
      <c r="J476" s="65" t="str">
        <f>IF(LEN(F476)&lt;256,"OK","Fehler")</f>
        <v>OK</v>
      </c>
      <c r="K476" s="65" t="str">
        <f>IF(LEN(G476)&lt;256,"OK","Fehler")</f>
        <v>OK</v>
      </c>
    </row>
    <row r="477" spans="1:11">
      <c r="A477" s="63"/>
      <c r="B477" s="34"/>
      <c r="C477" s="34" t="str">
        <f t="shared" si="15"/>
        <v>Fehler</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Sie müssen einen Eintrag aus der Liste wählen.</v>
      </c>
      <c r="D478" s="8" t="s">
        <v>12</v>
      </c>
      <c r="E478" s="8" t="s">
        <v>1266</v>
      </c>
      <c r="F478" s="8" t="s">
        <v>1018</v>
      </c>
      <c r="G478" s="8" t="s">
        <v>1352</v>
      </c>
      <c r="H478" s="65" t="str">
        <f>IF(LEN(D478)&lt;256,"OK","Fehler")</f>
        <v>OK</v>
      </c>
      <c r="I478" s="65" t="str">
        <f>IF(LEN(E478)&lt;256,"OK","Fehler")</f>
        <v>OK</v>
      </c>
      <c r="J478" s="65" t="str">
        <f>IF(LEN(F478)&lt;256,"OK","Fehler")</f>
        <v>OK</v>
      </c>
      <c r="K478" s="65" t="str">
        <f>IF(LEN(G478)&lt;256,"OK","Fehler")</f>
        <v>OK</v>
      </c>
    </row>
    <row r="479" spans="1:11">
      <c r="A479" s="63">
        <v>2</v>
      </c>
      <c r="B479" s="34" t="s">
        <v>402</v>
      </c>
      <c r="C479" s="34" t="str">
        <f t="shared" si="15"/>
        <v>eBKP-H</v>
      </c>
      <c r="D479" s="8" t="s">
        <v>179</v>
      </c>
      <c r="E479" s="8" t="s">
        <v>1291</v>
      </c>
      <c r="F479" s="8" t="s">
        <v>876</v>
      </c>
      <c r="G479" s="8" t="s">
        <v>179</v>
      </c>
      <c r="H479" s="65" t="str">
        <f>IF(LEN(D479)&lt;33,"OK","Fehler")</f>
        <v>OK</v>
      </c>
      <c r="I479" s="65" t="str">
        <f>IF(LEN(E479)&lt;33,"OK","Fehler")</f>
        <v>OK</v>
      </c>
      <c r="J479" s="65" t="str">
        <f>IF(LEN(F479)&lt;33,"OK","Fehler")</f>
        <v>OK</v>
      </c>
      <c r="K479" s="65" t="str">
        <f>IF(LEN(G479)&lt;33,"OK","Fehler")</f>
        <v>OK</v>
      </c>
    </row>
    <row r="480" spans="1:11">
      <c r="A480" s="63"/>
      <c r="B480" s="34"/>
      <c r="C480" s="34" t="str">
        <f t="shared" si="15"/>
        <v>Wählen Sie die entsprechende Kategorie des eBK-H aus der Liste.</v>
      </c>
      <c r="D480" s="8" t="s">
        <v>436</v>
      </c>
      <c r="E480" s="8" t="s">
        <v>1292</v>
      </c>
      <c r="F480" s="8" t="s">
        <v>1057</v>
      </c>
      <c r="G480" s="8" t="s">
        <v>1392</v>
      </c>
      <c r="H480" s="65" t="str">
        <f>IF(LEN(D480)&lt;256,"OK","Fehler")</f>
        <v>OK</v>
      </c>
      <c r="I480" s="65" t="str">
        <f>IF(LEN(E480)&lt;256,"OK","Fehler")</f>
        <v>OK</v>
      </c>
      <c r="J480" s="65" t="str">
        <f>IF(LEN(F480)&lt;256,"OK","Fehler")</f>
        <v>OK</v>
      </c>
      <c r="K480" s="65" t="str">
        <f>IF(LEN(G480)&lt;256,"OK","Fehler")</f>
        <v>OK</v>
      </c>
    </row>
    <row r="481" spans="1:11">
      <c r="A481" s="63"/>
      <c r="B481" s="34"/>
      <c r="C481" s="34" t="str">
        <f t="shared" si="15"/>
        <v>Fehler</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Sie müssen einen Eintrag aus der Liste wählen.</v>
      </c>
      <c r="D482" s="8" t="s">
        <v>12</v>
      </c>
      <c r="E482" s="8" t="s">
        <v>1266</v>
      </c>
      <c r="F482" s="8" t="s">
        <v>1018</v>
      </c>
      <c r="G482" s="8" t="s">
        <v>1352</v>
      </c>
      <c r="H482" s="65" t="str">
        <f>IF(LEN(D482)&lt;256,"OK","Fehler")</f>
        <v>OK</v>
      </c>
      <c r="I482" s="65" t="str">
        <f>IF(LEN(E482)&lt;256,"OK","Fehler")</f>
        <v>OK</v>
      </c>
      <c r="J482" s="65" t="str">
        <f>IF(LEN(F482)&lt;256,"OK","Fehler")</f>
        <v>OK</v>
      </c>
      <c r="K482" s="65" t="str">
        <f>IF(LEN(G482)&lt;256,"OK","Fehler")</f>
        <v>OK</v>
      </c>
    </row>
    <row r="483" spans="1:11">
      <c r="A483" s="63">
        <v>2</v>
      </c>
      <c r="B483" s="34" t="s">
        <v>1642</v>
      </c>
      <c r="C483" s="34" t="str">
        <f t="shared" si="15"/>
        <v>Bauteil</v>
      </c>
      <c r="D483" s="8" t="s">
        <v>341</v>
      </c>
      <c r="E483" s="8" t="s">
        <v>1293</v>
      </c>
      <c r="F483" s="8" t="s">
        <v>1058</v>
      </c>
      <c r="G483" s="8" t="s">
        <v>1393</v>
      </c>
      <c r="H483" s="65" t="str">
        <f>IF(LEN(D483)&lt;33,"OK","Fehler")</f>
        <v>OK</v>
      </c>
      <c r="I483" s="65" t="str">
        <f>IF(LEN(E483)&lt;33,"OK","Fehler")</f>
        <v>OK</v>
      </c>
      <c r="J483" s="65" t="str">
        <f>IF(LEN(F483)&lt;33,"OK","Fehler")</f>
        <v>OK</v>
      </c>
      <c r="K483" s="65" t="str">
        <f>IF(LEN(G483)&lt;33,"OK","Fehler")</f>
        <v>OK</v>
      </c>
    </row>
    <row r="484" spans="1:11">
      <c r="A484" s="63"/>
      <c r="B484" s="34"/>
      <c r="C484" s="34" t="str">
        <f t="shared" si="15"/>
        <v>Wählen Sie ein Bauteil aus der Liste. Achtung: wenn das Feld gelb ist, müssen Sie das Bauteil neu auswählen.</v>
      </c>
      <c r="D484" s="8" t="s">
        <v>1663</v>
      </c>
      <c r="E484" s="8" t="s">
        <v>1664</v>
      </c>
      <c r="F484" s="8" t="s">
        <v>1062</v>
      </c>
      <c r="G484" s="8" t="s">
        <v>2408</v>
      </c>
      <c r="H484" s="65" t="str">
        <f>IF(LEN(D484)&lt;256,"OK","Fehler")</f>
        <v>OK</v>
      </c>
      <c r="I484" s="65" t="str">
        <f>IF(LEN(E484)&lt;256,"OK","Fehler")</f>
        <v>OK</v>
      </c>
      <c r="J484" s="65" t="str">
        <f>IF(LEN(F484)&lt;256,"OK","Fehler")</f>
        <v>OK</v>
      </c>
      <c r="K484" s="65" t="str">
        <f>IF(LEN(G484)&lt;256,"OK","Fehler")</f>
        <v>OK</v>
      </c>
    </row>
    <row r="485" spans="1:11">
      <c r="A485" s="63"/>
      <c r="B485" s="34"/>
      <c r="C485" s="34" t="str">
        <f t="shared" si="15"/>
        <v>Fehler</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Sie müssen einen Eintrag aus der Liste wählen.</v>
      </c>
      <c r="D486" s="8" t="s">
        <v>12</v>
      </c>
      <c r="E486" s="8" t="s">
        <v>1250</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403</v>
      </c>
      <c r="C487" s="34" t="str">
        <f t="shared" si="15"/>
        <v>Energiestandard</v>
      </c>
      <c r="D487" s="8" t="s">
        <v>217</v>
      </c>
      <c r="E487" s="8" t="s">
        <v>1100</v>
      </c>
      <c r="F487" s="8" t="s">
        <v>878</v>
      </c>
      <c r="G487" s="8" t="s">
        <v>1350</v>
      </c>
      <c r="H487" s="65" t="str">
        <f>IF(LEN(D487)&lt;33,"OK","Fehler")</f>
        <v>OK</v>
      </c>
      <c r="I487" s="65" t="str">
        <f>IF(LEN(E487)&lt;33,"OK","Fehler")</f>
        <v>OK</v>
      </c>
      <c r="J487" s="65" t="str">
        <f>IF(LEN(F487)&lt;33,"OK","Fehler")</f>
        <v>OK</v>
      </c>
      <c r="K487" s="65" t="str">
        <f>IF(LEN(G487)&lt;33,"OK","Fehler")</f>
        <v>OK</v>
      </c>
    </row>
    <row r="488" spans="1:11">
      <c r="A488" s="63"/>
      <c r="B488" s="34"/>
      <c r="C488" s="34" t="str">
        <f t="shared" si="15"/>
        <v>Wählen Sie einen Energiestandard aus der Liste.</v>
      </c>
      <c r="D488" s="8" t="s">
        <v>437</v>
      </c>
      <c r="E488" s="8" t="s">
        <v>1294</v>
      </c>
      <c r="F488" s="8" t="s">
        <v>1059</v>
      </c>
      <c r="G488" s="8" t="s">
        <v>1394</v>
      </c>
      <c r="H488" s="65" t="str">
        <f>IF(LEN(D488)&lt;256,"OK","Fehler")</f>
        <v>OK</v>
      </c>
      <c r="I488" s="65" t="str">
        <f>IF(LEN(E488)&lt;256,"OK","Fehler")</f>
        <v>OK</v>
      </c>
      <c r="J488" s="65" t="str">
        <f>IF(LEN(F488)&lt;256,"OK","Fehler")</f>
        <v>OK</v>
      </c>
      <c r="K488" s="65" t="str">
        <f>IF(LEN(G488)&lt;256,"OK","Fehler")</f>
        <v>OK</v>
      </c>
    </row>
    <row r="489" spans="1:11">
      <c r="A489" s="63"/>
      <c r="B489" s="34"/>
      <c r="C489" s="34" t="str">
        <f t="shared" si="15"/>
        <v>Fehler</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Sie müssen einen Eintrag aus der Liste wählen.</v>
      </c>
      <c r="D490" s="8" t="s">
        <v>12</v>
      </c>
      <c r="E490" s="8" t="s">
        <v>1266</v>
      </c>
      <c r="F490" s="8" t="s">
        <v>120</v>
      </c>
      <c r="G490" s="8" t="s">
        <v>1352</v>
      </c>
      <c r="H490" s="65" t="str">
        <f>IF(LEN(D490)&lt;256,"OK","Fehler")</f>
        <v>OK</v>
      </c>
      <c r="I490" s="65" t="str">
        <f>IF(LEN(E490)&lt;256,"OK","Fehler")</f>
        <v>OK</v>
      </c>
      <c r="J490" s="65" t="str">
        <f>IF(LEN(F490)&lt;256,"OK","Fehler")</f>
        <v>OK</v>
      </c>
      <c r="K490" s="65" t="str">
        <f>IF(LEN(G490)&lt;256,"OK","Fehler")</f>
        <v>OK</v>
      </c>
    </row>
    <row r="491" spans="1:11">
      <c r="A491" s="63">
        <v>2</v>
      </c>
      <c r="B491" s="34" t="s">
        <v>404</v>
      </c>
      <c r="C491" s="34" t="str">
        <f t="shared" si="15"/>
        <v>Fläche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 xml:space="preserve">Geben Sie die Fläche des Bauteils ein. Falls das Eingabefeld rot hinterlegt ist, müssen Sie keinen Wert eintragen (automatisch berechnet). </v>
      </c>
      <c r="D492" s="8" t="s">
        <v>752</v>
      </c>
      <c r="E492" s="8" t="s">
        <v>1295</v>
      </c>
      <c r="F492" s="60" t="s">
        <v>1060</v>
      </c>
      <c r="G492" s="8" t="s">
        <v>1395</v>
      </c>
      <c r="H492" s="65" t="str">
        <f>IF(LEN(D492)&lt;256,"OK","Fehler")</f>
        <v>OK</v>
      </c>
      <c r="I492" s="65" t="str">
        <f>IF(LEN(E492)&lt;256,"OK","Fehler")</f>
        <v>OK</v>
      </c>
      <c r="J492" s="65" t="str">
        <f>IF(LEN(F492)&lt;256,"OK","Fehler")</f>
        <v>OK</v>
      </c>
      <c r="K492" s="65" t="str">
        <f>IF(LEN(G492)&lt;256,"OK","Fehler")</f>
        <v>OK</v>
      </c>
    </row>
    <row r="493" spans="1:11">
      <c r="A493" s="63"/>
      <c r="B493" s="34"/>
      <c r="C493" s="34" t="str">
        <f t="shared" si="15"/>
        <v>Fehler</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Sie müssen ganzzahlige Werte zwischen 0 und 99'999 eingeben.</v>
      </c>
      <c r="D494" s="8" t="s">
        <v>438</v>
      </c>
      <c r="E494" s="8" t="s">
        <v>1296</v>
      </c>
      <c r="F494" s="8" t="s">
        <v>1061</v>
      </c>
      <c r="G494" s="8" t="s">
        <v>439</v>
      </c>
      <c r="H494" s="65" t="str">
        <f>IF(LEN(D494)&lt;256,"OK","Fehler")</f>
        <v>OK</v>
      </c>
      <c r="I494" s="65" t="str">
        <f>IF(LEN(E494)&lt;256,"OK","Fehler")</f>
        <v>OK</v>
      </c>
      <c r="J494" s="65" t="str">
        <f>IF(LEN(F494)&lt;256,"OK","Fehler")</f>
        <v>OK</v>
      </c>
      <c r="K494" s="65" t="str">
        <f>IF(LEN(G494)&lt;256,"OK","Fehler")</f>
        <v>OK</v>
      </c>
    </row>
    <row r="495" spans="1:11">
      <c r="A495" s="63">
        <v>2</v>
      </c>
      <c r="B495" s="34" t="s">
        <v>1811</v>
      </c>
      <c r="C495" s="34" t="str">
        <f t="shared" si="15"/>
        <v>Link</v>
      </c>
      <c r="D495" s="8" t="s">
        <v>185</v>
      </c>
      <c r="E495" s="8" t="s">
        <v>1815</v>
      </c>
      <c r="F495" s="8" t="s">
        <v>185</v>
      </c>
      <c r="G495" s="8" t="s">
        <v>185</v>
      </c>
      <c r="H495" s="65" t="str">
        <f>IF(LEN(D495)&lt;33,"OK","Fehler")</f>
        <v>OK</v>
      </c>
      <c r="I495" s="65" t="str">
        <f>IF(LEN(E495)&lt;33,"OK","Fehler")</f>
        <v>OK</v>
      </c>
      <c r="J495" s="65" t="str">
        <f>IF(LEN(F495)&lt;33,"OK","Fehler")</f>
        <v>OK</v>
      </c>
      <c r="K495" s="65" t="str">
        <f>IF(LEN(G495)&lt;33,"OK","Fehler")</f>
        <v>OK</v>
      </c>
    </row>
    <row r="496" spans="1:11">
      <c r="A496" s="63"/>
      <c r="B496" s="34"/>
      <c r="C496" s="34" t="str">
        <f t="shared" si="15"/>
        <v>Klicken Sia auf den Link, um Genaueres über das gewählte Bauteil zu erfahren.</v>
      </c>
      <c r="D496" s="8" t="s">
        <v>1813</v>
      </c>
      <c r="E496" s="8" t="s">
        <v>1816</v>
      </c>
      <c r="F496" s="8" t="s">
        <v>1819</v>
      </c>
      <c r="G496" s="8" t="s">
        <v>1822</v>
      </c>
      <c r="H496" s="65" t="str">
        <f>IF(LEN(D496)&lt;256,"OK","Fehler")</f>
        <v>OK</v>
      </c>
      <c r="I496" s="65" t="str">
        <f>IF(LEN(E496)&lt;256,"OK","Fehler")</f>
        <v>OK</v>
      </c>
      <c r="J496" s="65" t="str">
        <f>IF(LEN(F496)&lt;256,"OK","Fehler")</f>
        <v>OK</v>
      </c>
      <c r="K496" s="65" t="str">
        <f>IF(LEN(G496)&lt;256,"OK","Fehler")</f>
        <v>OK</v>
      </c>
    </row>
    <row r="497" spans="1:11">
      <c r="A497" s="63"/>
      <c r="B497" s="34"/>
      <c r="C497" s="34" t="str">
        <f t="shared" si="15"/>
        <v>Kein Eingabefeld</v>
      </c>
      <c r="D497" s="8" t="s">
        <v>1814</v>
      </c>
      <c r="E497" s="8" t="s">
        <v>1817</v>
      </c>
      <c r="F497" s="8" t="s">
        <v>1820</v>
      </c>
      <c r="G497" s="8" t="s">
        <v>1823</v>
      </c>
      <c r="H497" s="65" t="str">
        <f>IF(LEN(D497)&lt;33,"OK","Fehler")</f>
        <v>OK</v>
      </c>
      <c r="I497" s="65" t="str">
        <f>IF(LEN(E497)&lt;33,"OK","Fehler")</f>
        <v>OK</v>
      </c>
      <c r="J497" s="65" t="str">
        <f>IF(LEN(F497)&lt;33,"OK","Fehler")</f>
        <v>OK</v>
      </c>
      <c r="K497" s="65" t="str">
        <f>IF(LEN(G497)&lt;33,"OK","Fehler")</f>
        <v>OK</v>
      </c>
    </row>
    <row r="498" spans="1:11">
      <c r="A498" s="63"/>
      <c r="B498" s="34"/>
      <c r="C498" s="34" t="str">
        <f t="shared" si="15"/>
        <v>Dieses Feld dient zur Anzeige von Links und erlaubt keine Eingaben.</v>
      </c>
      <c r="D498" s="8" t="s">
        <v>1812</v>
      </c>
      <c r="E498" s="8" t="s">
        <v>1818</v>
      </c>
      <c r="F498" s="8" t="s">
        <v>1821</v>
      </c>
      <c r="G498" s="8" t="s">
        <v>1824</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aCkkAICIu/carr7209SoQUxx0LBnqU/JQ67peD7f452uKy8dm9q5DeirDRnZmi7k1wgja0Y5vxqLDW60q7LM5w==" saltValue="ZGud1v613UW7qpefBgPNZA=="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5"/>
  <cols>
    <col min="1" max="1" width="9.84375" customWidth="1"/>
    <col min="2" max="2" width="56.4609375" customWidth="1"/>
    <col min="3" max="3" width="7.765625" bestFit="1" customWidth="1"/>
    <col min="5" max="5" width="13.23046875" bestFit="1" customWidth="1"/>
    <col min="6" max="6" width="5.69140625" bestFit="1" customWidth="1"/>
    <col min="7" max="7" width="7.23046875" bestFit="1" customWidth="1"/>
    <col min="17" max="17" width="8.4609375" customWidth="1"/>
    <col min="19" max="19" width="6.4609375" customWidth="1"/>
    <col min="20" max="20" width="8.765625" customWidth="1"/>
    <col min="21" max="21" width="7.765625" customWidth="1"/>
  </cols>
  <sheetData>
    <row r="1" spans="1:29" ht="17.5">
      <c r="A1" s="12" t="s">
        <v>204</v>
      </c>
    </row>
    <row r="2" spans="1:29" ht="8.25" customHeight="1">
      <c r="A2" s="12"/>
    </row>
    <row r="3" spans="1:29">
      <c r="A3" s="8" t="s">
        <v>477</v>
      </c>
    </row>
    <row r="4" spans="1:29">
      <c r="A4" s="8" t="s">
        <v>390</v>
      </c>
    </row>
    <row r="5" spans="1:29">
      <c r="A5" s="8" t="s">
        <v>476</v>
      </c>
    </row>
    <row r="6" spans="1:29" ht="9" customHeight="1"/>
    <row r="7" spans="1:29">
      <c r="A7" s="20" t="s">
        <v>203</v>
      </c>
      <c r="B7" s="20" t="s">
        <v>23</v>
      </c>
      <c r="C7" s="20" t="s">
        <v>202</v>
      </c>
      <c r="D7" s="20" t="s">
        <v>185</v>
      </c>
      <c r="E7" s="20" t="s">
        <v>232</v>
      </c>
      <c r="F7" s="20" t="s">
        <v>233</v>
      </c>
      <c r="G7" s="20" t="s">
        <v>276</v>
      </c>
      <c r="H7" s="110" t="s">
        <v>234</v>
      </c>
      <c r="I7" s="110"/>
      <c r="J7" s="110"/>
      <c r="K7" s="110" t="s">
        <v>1733</v>
      </c>
      <c r="L7" s="110"/>
      <c r="M7" s="110"/>
      <c r="N7" s="110" t="s">
        <v>238</v>
      </c>
      <c r="O7" s="110"/>
      <c r="P7" s="110"/>
      <c r="Q7" s="20" t="s">
        <v>440</v>
      </c>
      <c r="R7" s="20" t="s">
        <v>230</v>
      </c>
      <c r="S7" s="20" t="s">
        <v>233</v>
      </c>
      <c r="T7" s="20" t="s">
        <v>2346</v>
      </c>
      <c r="U7" s="20" t="s">
        <v>534</v>
      </c>
    </row>
    <row r="8" spans="1:29" ht="28">
      <c r="A8" s="20"/>
      <c r="B8" s="20"/>
      <c r="C8" s="20"/>
      <c r="D8" s="20"/>
      <c r="E8" s="20"/>
      <c r="F8" s="20"/>
      <c r="G8" s="22" t="s">
        <v>277</v>
      </c>
      <c r="H8" s="21" t="s">
        <v>272</v>
      </c>
      <c r="I8" s="21" t="s">
        <v>236</v>
      </c>
      <c r="J8" s="21" t="s">
        <v>237</v>
      </c>
      <c r="K8" s="21" t="s">
        <v>273</v>
      </c>
      <c r="L8" s="21" t="s">
        <v>274</v>
      </c>
      <c r="M8" s="21" t="s">
        <v>275</v>
      </c>
      <c r="N8" s="21" t="s">
        <v>239</v>
      </c>
      <c r="O8" s="21" t="s">
        <v>240</v>
      </c>
      <c r="P8" s="21" t="s">
        <v>241</v>
      </c>
      <c r="Q8" s="21" t="s">
        <v>441</v>
      </c>
      <c r="R8" s="21"/>
      <c r="S8" s="21"/>
      <c r="T8" s="21"/>
      <c r="U8" s="21"/>
    </row>
    <row r="9" spans="1:29">
      <c r="A9" s="75" t="s">
        <v>249</v>
      </c>
      <c r="B9" s="77" t="str">
        <f>Texte!$B$270</f>
        <v>Aushub (SIA 2032)</v>
      </c>
      <c r="C9" s="75"/>
      <c r="D9" s="75"/>
      <c r="E9" s="75" t="s">
        <v>762</v>
      </c>
      <c r="F9" s="75" t="s">
        <v>243</v>
      </c>
      <c r="G9" s="8">
        <v>60</v>
      </c>
      <c r="H9" s="44">
        <v>2.7833333333333331E-2</v>
      </c>
      <c r="I9" s="54">
        <v>1.67</v>
      </c>
      <c r="J9" s="54">
        <v>0</v>
      </c>
      <c r="K9" s="48">
        <f>(L9+M9)/$G9</f>
        <v>6.8666666666666659E-3</v>
      </c>
      <c r="L9" s="53">
        <v>0.41199999999999998</v>
      </c>
      <c r="M9" s="53">
        <v>0</v>
      </c>
      <c r="N9" s="46">
        <f>(O9+P9)/$G9</f>
        <v>8.15</v>
      </c>
      <c r="O9" s="46">
        <v>489</v>
      </c>
      <c r="P9" s="46">
        <v>0</v>
      </c>
      <c r="Q9" s="8" t="s">
        <v>19</v>
      </c>
      <c r="R9" s="8" t="s">
        <v>265</v>
      </c>
      <c r="S9" s="8" t="s">
        <v>243</v>
      </c>
      <c r="T9" s="8" t="s">
        <v>2347</v>
      </c>
      <c r="U9" s="7" t="s">
        <v>761</v>
      </c>
      <c r="W9">
        <v>1</v>
      </c>
      <c r="X9" t="s">
        <v>1914</v>
      </c>
      <c r="Y9">
        <f>RIGHT(X9,3)*1</f>
        <v>248</v>
      </c>
      <c r="Z9" t="str">
        <f>RIGHT(A9,LEN(A9)-SEARCH("_",A9,3))&amp;"-"&amp;W9</f>
        <v>B-1</v>
      </c>
      <c r="AB9">
        <v>163</v>
      </c>
      <c r="AC9" t="s">
        <v>2061</v>
      </c>
    </row>
    <row r="10" spans="1:29">
      <c r="A10" s="75" t="s">
        <v>249</v>
      </c>
      <c r="B10" s="77" t="str">
        <f>Texte!$B$272</f>
        <v>Baugrubenabschluss, Schlitzwand (SIA 2032)</v>
      </c>
      <c r="C10" s="75"/>
      <c r="D10" s="75"/>
      <c r="E10" s="75" t="s">
        <v>242</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2347</v>
      </c>
      <c r="U10" s="7" t="s">
        <v>761</v>
      </c>
      <c r="W10">
        <v>2</v>
      </c>
      <c r="X10" t="s">
        <v>1915</v>
      </c>
      <c r="Y10">
        <f t="shared" ref="Y10:Y73" si="0">RIGHT(X10,3)*1</f>
        <v>250</v>
      </c>
      <c r="Z10" t="str">
        <f t="shared" ref="Z10:Z73" si="1">RIGHT(A10,LEN(A10)-SEARCH("_",A10,3))&amp;"-"&amp;W10</f>
        <v>B-2</v>
      </c>
      <c r="AB10">
        <v>164</v>
      </c>
      <c r="AC10" t="s">
        <v>2062</v>
      </c>
    </row>
    <row r="11" spans="1:29">
      <c r="A11" s="75" t="s">
        <v>249</v>
      </c>
      <c r="B11" s="77" t="str">
        <f>Texte!$B$271</f>
        <v>Baugrubenabschluss, Rühlwand (SIA 2032)</v>
      </c>
      <c r="C11" s="75"/>
      <c r="D11" s="75"/>
      <c r="E11" s="75" t="s">
        <v>242</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2347</v>
      </c>
      <c r="U11" s="7" t="s">
        <v>761</v>
      </c>
      <c r="W11">
        <v>3</v>
      </c>
      <c r="X11" t="s">
        <v>1916</v>
      </c>
      <c r="Y11">
        <f t="shared" si="0"/>
        <v>249</v>
      </c>
      <c r="Z11" t="str">
        <f t="shared" si="1"/>
        <v>B-3</v>
      </c>
      <c r="AB11">
        <v>165</v>
      </c>
      <c r="AC11" t="s">
        <v>2068</v>
      </c>
    </row>
    <row r="12" spans="1:29">
      <c r="A12" s="75" t="s">
        <v>249</v>
      </c>
      <c r="B12" s="77" t="str">
        <f>Texte!$B$273</f>
        <v>Baugrubenabschluss, Spundwand (SIA 2032)</v>
      </c>
      <c r="C12" s="75"/>
      <c r="D12" s="75"/>
      <c r="E12" s="75" t="s">
        <v>242</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2347</v>
      </c>
      <c r="U12" s="7" t="s">
        <v>761</v>
      </c>
      <c r="W12">
        <v>4</v>
      </c>
      <c r="X12" t="s">
        <v>1917</v>
      </c>
      <c r="Y12">
        <f t="shared" si="0"/>
        <v>251</v>
      </c>
      <c r="Z12" t="str">
        <f t="shared" si="1"/>
        <v>B-4</v>
      </c>
      <c r="AB12">
        <v>166</v>
      </c>
      <c r="AC12" t="s">
        <v>2069</v>
      </c>
    </row>
    <row r="13" spans="1:29">
      <c r="A13" s="77" t="s">
        <v>249</v>
      </c>
      <c r="B13" s="77" t="str">
        <f>Texte!$B$185</f>
        <v>Baugrubenaushub in Deponie (BTK)</v>
      </c>
      <c r="C13" s="77" t="s">
        <v>610</v>
      </c>
      <c r="D13" s="77" t="s">
        <v>612</v>
      </c>
      <c r="E13" s="77" t="s">
        <v>653</v>
      </c>
      <c r="F13" s="77" t="s">
        <v>243</v>
      </c>
      <c r="G13" s="42">
        <f>(I13+J13)/H13</f>
        <v>60.303030303030305</v>
      </c>
      <c r="H13" s="43">
        <v>0.27499999999999997</v>
      </c>
      <c r="I13" s="43">
        <v>16.583333333333332</v>
      </c>
      <c r="J13" s="43">
        <v>0</v>
      </c>
      <c r="K13" s="47">
        <v>0.06</v>
      </c>
      <c r="L13" s="47">
        <v>3.63</v>
      </c>
      <c r="M13" s="47">
        <v>0</v>
      </c>
      <c r="N13" s="50">
        <v>68</v>
      </c>
      <c r="O13" s="50">
        <v>4104</v>
      </c>
      <c r="P13" s="50">
        <v>0</v>
      </c>
      <c r="Q13" s="7" t="s">
        <v>19</v>
      </c>
      <c r="R13" s="7" t="s">
        <v>265</v>
      </c>
      <c r="S13" s="7" t="s">
        <v>243</v>
      </c>
      <c r="T13" s="8" t="s">
        <v>2347</v>
      </c>
      <c r="U13" s="7" t="s">
        <v>651</v>
      </c>
      <c r="W13">
        <v>5</v>
      </c>
      <c r="X13" t="s">
        <v>1918</v>
      </c>
      <c r="Y13">
        <f t="shared" si="0"/>
        <v>163</v>
      </c>
      <c r="Z13" t="str">
        <f t="shared" si="1"/>
        <v>B-5</v>
      </c>
      <c r="AB13">
        <v>167</v>
      </c>
      <c r="AC13" t="s">
        <v>2070</v>
      </c>
    </row>
    <row r="14" spans="1:29">
      <c r="A14" s="77" t="s">
        <v>249</v>
      </c>
      <c r="B14" s="77" t="str">
        <f>Texte!$B$186</f>
        <v>Baugrubenaushub, Lager Baustelle (BTK)</v>
      </c>
      <c r="C14" s="77" t="s">
        <v>609</v>
      </c>
      <c r="D14" s="77" t="s">
        <v>611</v>
      </c>
      <c r="E14" s="77" t="s">
        <v>653</v>
      </c>
      <c r="F14" s="77" t="s">
        <v>243</v>
      </c>
      <c r="G14" s="42">
        <v>60</v>
      </c>
      <c r="H14" s="43">
        <v>3.6111111111111115E-2</v>
      </c>
      <c r="I14" s="43">
        <v>2.2305555555555552</v>
      </c>
      <c r="J14" s="43">
        <v>0</v>
      </c>
      <c r="K14" s="47">
        <v>0.01</v>
      </c>
      <c r="L14" s="47">
        <v>0.53</v>
      </c>
      <c r="M14" s="47">
        <v>0</v>
      </c>
      <c r="N14" s="50">
        <v>11</v>
      </c>
      <c r="O14" s="50">
        <v>665</v>
      </c>
      <c r="P14" s="50">
        <v>0</v>
      </c>
      <c r="Q14" s="7" t="s">
        <v>19</v>
      </c>
      <c r="R14" s="7" t="s">
        <v>265</v>
      </c>
      <c r="S14" s="7" t="s">
        <v>243</v>
      </c>
      <c r="T14" s="8" t="s">
        <v>2347</v>
      </c>
      <c r="U14" s="7" t="s">
        <v>651</v>
      </c>
      <c r="W14">
        <v>6</v>
      </c>
      <c r="X14" t="s">
        <v>1919</v>
      </c>
      <c r="Y14">
        <f t="shared" si="0"/>
        <v>164</v>
      </c>
      <c r="Z14" t="str">
        <f t="shared" si="1"/>
        <v>B-6</v>
      </c>
      <c r="AB14">
        <v>168</v>
      </c>
      <c r="AC14" t="s">
        <v>2073</v>
      </c>
    </row>
    <row r="15" spans="1:29">
      <c r="A15" s="75" t="s">
        <v>249</v>
      </c>
      <c r="B15" s="77" t="str">
        <f>Texte!$B$274</f>
        <v>Pfählung, Mikrobohrpfahl (SIA 2032)</v>
      </c>
      <c r="C15" s="75"/>
      <c r="D15" s="75"/>
      <c r="E15" s="75" t="s">
        <v>763</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341</v>
      </c>
      <c r="U15" s="7" t="s">
        <v>761</v>
      </c>
      <c r="W15">
        <v>7</v>
      </c>
      <c r="X15" t="s">
        <v>1920</v>
      </c>
      <c r="Y15">
        <f t="shared" si="0"/>
        <v>252</v>
      </c>
      <c r="Z15" t="str">
        <f t="shared" si="1"/>
        <v>B-7</v>
      </c>
      <c r="AB15">
        <v>169</v>
      </c>
      <c r="AC15" t="s">
        <v>2074</v>
      </c>
    </row>
    <row r="16" spans="1:29">
      <c r="A16" s="75" t="s">
        <v>249</v>
      </c>
      <c r="B16" s="77" t="str">
        <f>Texte!$B$275</f>
        <v>Pfählung, Ortbetonverdrängungspfahl (SIA 2032)</v>
      </c>
      <c r="C16" s="75"/>
      <c r="D16" s="75"/>
      <c r="E16" s="75" t="s">
        <v>763</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341</v>
      </c>
      <c r="U16" s="7" t="s">
        <v>761</v>
      </c>
      <c r="W16">
        <v>8</v>
      </c>
      <c r="X16" t="s">
        <v>1921</v>
      </c>
      <c r="Y16">
        <f t="shared" si="0"/>
        <v>253</v>
      </c>
      <c r="Z16" t="str">
        <f t="shared" si="1"/>
        <v>B-8</v>
      </c>
      <c r="AB16">
        <v>170</v>
      </c>
      <c r="AC16" t="s">
        <v>2075</v>
      </c>
    </row>
    <row r="17" spans="1:29">
      <c r="A17" s="75" t="s">
        <v>249</v>
      </c>
      <c r="B17" s="77" t="str">
        <f>Texte!$B$276</f>
        <v>Pfählung, Vorgefertigter Betonpfahl (SIA 2032)</v>
      </c>
      <c r="C17" s="75"/>
      <c r="D17" s="75"/>
      <c r="E17" s="75" t="s">
        <v>763</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341</v>
      </c>
      <c r="U17" s="7" t="s">
        <v>761</v>
      </c>
      <c r="W17">
        <v>9</v>
      </c>
      <c r="X17" t="s">
        <v>1922</v>
      </c>
      <c r="Y17">
        <f t="shared" si="0"/>
        <v>254</v>
      </c>
      <c r="Z17" t="str">
        <f t="shared" si="1"/>
        <v>B-9</v>
      </c>
      <c r="AB17">
        <v>171</v>
      </c>
      <c r="AC17" t="s">
        <v>2076</v>
      </c>
    </row>
    <row r="18" spans="1:29">
      <c r="A18" s="75" t="s">
        <v>250</v>
      </c>
      <c r="B18" s="77" t="str">
        <f>Texte!$B$278</f>
        <v>Bodenplatte, Fundament gedämmt (SIA 2032)</v>
      </c>
      <c r="C18" s="75"/>
      <c r="D18" s="75"/>
      <c r="E18" s="75" t="s">
        <v>242</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341</v>
      </c>
      <c r="U18" s="7" t="s">
        <v>761</v>
      </c>
      <c r="W18">
        <v>1</v>
      </c>
      <c r="X18" t="s">
        <v>1923</v>
      </c>
      <c r="Y18">
        <f t="shared" si="0"/>
        <v>256</v>
      </c>
      <c r="Z18" t="str">
        <f t="shared" si="1"/>
        <v>C1-1</v>
      </c>
      <c r="AB18">
        <v>172</v>
      </c>
      <c r="AC18" t="s">
        <v>2077</v>
      </c>
    </row>
    <row r="19" spans="1:29">
      <c r="A19" s="75" t="s">
        <v>250</v>
      </c>
      <c r="B19" s="77" t="str">
        <f>Texte!$B$277</f>
        <v>Bodenplatte, Fundament ungedämmt (SIA 2032)</v>
      </c>
      <c r="C19" s="75"/>
      <c r="D19" s="75"/>
      <c r="E19" s="75" t="s">
        <v>242</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341</v>
      </c>
      <c r="U19" s="7" t="s">
        <v>761</v>
      </c>
      <c r="W19">
        <v>2</v>
      </c>
      <c r="X19" t="s">
        <v>1924</v>
      </c>
      <c r="Y19">
        <f t="shared" si="0"/>
        <v>255</v>
      </c>
      <c r="Z19" t="str">
        <f t="shared" si="1"/>
        <v>C1-2</v>
      </c>
      <c r="AB19">
        <v>173</v>
      </c>
      <c r="AC19" t="s">
        <v>2093</v>
      </c>
    </row>
    <row r="20" spans="1:29">
      <c r="A20" s="77" t="s">
        <v>250</v>
      </c>
      <c r="B20" s="77" t="str">
        <f>Texte!$B$187</f>
        <v>Fundamentplatte 25cm Beton (BTK)</v>
      </c>
      <c r="C20" s="77" t="s">
        <v>688</v>
      </c>
      <c r="D20" s="77" t="s">
        <v>687</v>
      </c>
      <c r="E20" s="77" t="s">
        <v>242</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341</v>
      </c>
      <c r="U20" s="7" t="s">
        <v>651</v>
      </c>
      <c r="W20">
        <v>3</v>
      </c>
      <c r="X20" t="s">
        <v>1925</v>
      </c>
      <c r="Y20">
        <f t="shared" si="0"/>
        <v>165</v>
      </c>
      <c r="Z20" t="str">
        <f t="shared" si="1"/>
        <v>C1-3</v>
      </c>
      <c r="AB20">
        <v>174</v>
      </c>
      <c r="AC20" t="s">
        <v>2094</v>
      </c>
    </row>
    <row r="21" spans="1:29">
      <c r="A21" s="77" t="s">
        <v>250</v>
      </c>
      <c r="B21" s="77" t="str">
        <f>Texte!$B$188</f>
        <v>Fundamentplatte 25cm Beton mit innerer Wärmedämmung XPS und Unterlagsboden (BTK)</v>
      </c>
      <c r="C21" s="77" t="s">
        <v>536</v>
      </c>
      <c r="D21" s="77" t="s">
        <v>535</v>
      </c>
      <c r="E21" s="77" t="s">
        <v>242</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341</v>
      </c>
      <c r="U21" s="7" t="s">
        <v>651</v>
      </c>
      <c r="W21">
        <v>4</v>
      </c>
      <c r="X21" t="s">
        <v>1926</v>
      </c>
      <c r="Y21">
        <f t="shared" si="0"/>
        <v>166</v>
      </c>
      <c r="Z21" t="str">
        <f t="shared" si="1"/>
        <v>C1-4</v>
      </c>
      <c r="AB21">
        <v>175</v>
      </c>
      <c r="AC21" t="s">
        <v>2095</v>
      </c>
    </row>
    <row r="22" spans="1:29">
      <c r="A22" s="77" t="s">
        <v>250</v>
      </c>
      <c r="B22" s="77" t="str">
        <f>Texte!$B$189</f>
        <v>Wärmedämmung, Fundamentplatte 25cm Beton, Zementüberzug (BTK)</v>
      </c>
      <c r="C22" s="77" t="s">
        <v>537</v>
      </c>
      <c r="D22" s="77" t="s">
        <v>538</v>
      </c>
      <c r="E22" s="77" t="s">
        <v>242</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341</v>
      </c>
      <c r="U22" s="7" t="s">
        <v>651</v>
      </c>
      <c r="W22">
        <v>5</v>
      </c>
      <c r="X22" t="s">
        <v>1927</v>
      </c>
      <c r="Y22">
        <f t="shared" si="0"/>
        <v>167</v>
      </c>
      <c r="Z22" t="str">
        <f t="shared" si="1"/>
        <v>C1-5</v>
      </c>
      <c r="AB22">
        <v>176</v>
      </c>
      <c r="AC22" t="s">
        <v>2096</v>
      </c>
    </row>
    <row r="23" spans="1:29">
      <c r="A23" s="75" t="s">
        <v>251</v>
      </c>
      <c r="B23" s="77" t="str">
        <f>Texte!$B$280</f>
        <v>Aussenwand unter Terrain gedämmt (SIA 2032)</v>
      </c>
      <c r="C23" s="75"/>
      <c r="D23" s="75"/>
      <c r="E23" s="75" t="s">
        <v>242</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341</v>
      </c>
      <c r="U23" s="7" t="s">
        <v>761</v>
      </c>
      <c r="W23">
        <v>1</v>
      </c>
      <c r="X23" t="s">
        <v>1928</v>
      </c>
      <c r="Y23">
        <f t="shared" si="0"/>
        <v>258</v>
      </c>
      <c r="Z23" t="str">
        <f t="shared" si="1"/>
        <v>C211-1</v>
      </c>
      <c r="AB23">
        <v>177</v>
      </c>
      <c r="AC23" t="s">
        <v>2097</v>
      </c>
    </row>
    <row r="24" spans="1:29">
      <c r="A24" s="75" t="s">
        <v>251</v>
      </c>
      <c r="B24" s="77" t="str">
        <f>Texte!$B$279</f>
        <v>Aussenwand unter Terrain ungedämmt (SIA 2032)</v>
      </c>
      <c r="C24" s="75"/>
      <c r="D24" s="75"/>
      <c r="E24" s="75" t="s">
        <v>242</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341</v>
      </c>
      <c r="U24" s="7" t="s">
        <v>761</v>
      </c>
      <c r="W24">
        <v>2</v>
      </c>
      <c r="X24" t="s">
        <v>1929</v>
      </c>
      <c r="Y24">
        <f t="shared" si="0"/>
        <v>257</v>
      </c>
      <c r="Z24" t="str">
        <f t="shared" si="1"/>
        <v>C211-2</v>
      </c>
      <c r="AB24">
        <v>178</v>
      </c>
      <c r="AC24" t="s">
        <v>2098</v>
      </c>
    </row>
    <row r="25" spans="1:29">
      <c r="A25" s="77" t="s">
        <v>251</v>
      </c>
      <c r="B25" s="77" t="str">
        <f>Texte!$B$190</f>
        <v>Betonwand 25cm ungedämmt, Sickerplatten (BTK)</v>
      </c>
      <c r="C25" s="77" t="s">
        <v>567</v>
      </c>
      <c r="D25" s="77" t="s">
        <v>568</v>
      </c>
      <c r="E25" s="77" t="s">
        <v>242</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341</v>
      </c>
      <c r="U25" s="7" t="s">
        <v>651</v>
      </c>
      <c r="W25">
        <v>3</v>
      </c>
      <c r="X25" t="s">
        <v>1930</v>
      </c>
      <c r="Y25">
        <f t="shared" si="0"/>
        <v>168</v>
      </c>
      <c r="Z25" t="str">
        <f t="shared" si="1"/>
        <v>C211-3</v>
      </c>
      <c r="AB25">
        <v>179</v>
      </c>
      <c r="AC25" t="s">
        <v>2099</v>
      </c>
    </row>
    <row r="26" spans="1:29">
      <c r="A26" s="77" t="s">
        <v>251</v>
      </c>
      <c r="B26" s="77" t="str">
        <f>Texte!$B$191</f>
        <v>Betonwand 25cm, Aussendämmung, Sickerplatten (BTK)</v>
      </c>
      <c r="C26" s="77" t="s">
        <v>569</v>
      </c>
      <c r="D26" s="77" t="s">
        <v>570</v>
      </c>
      <c r="E26" s="77" t="s">
        <v>242</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341</v>
      </c>
      <c r="U26" s="7" t="s">
        <v>651</v>
      </c>
      <c r="W26">
        <v>4</v>
      </c>
      <c r="X26" t="s">
        <v>1931</v>
      </c>
      <c r="Y26">
        <f t="shared" si="0"/>
        <v>169</v>
      </c>
      <c r="Z26" t="str">
        <f t="shared" si="1"/>
        <v>C211-4</v>
      </c>
      <c r="AB26">
        <v>180</v>
      </c>
      <c r="AC26" t="s">
        <v>2100</v>
      </c>
    </row>
    <row r="27" spans="1:29">
      <c r="A27" s="77" t="s">
        <v>251</v>
      </c>
      <c r="B27" s="77" t="str">
        <f>Texte!$B$192</f>
        <v>Betonwand 25cm, Innendämmung verkleidet, Sickerplatten  (BTK)</v>
      </c>
      <c r="C27" s="77" t="s">
        <v>571</v>
      </c>
      <c r="D27" s="77" t="s">
        <v>572</v>
      </c>
      <c r="E27" s="77" t="s">
        <v>242</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341</v>
      </c>
      <c r="U27" s="7" t="s">
        <v>651</v>
      </c>
      <c r="W27">
        <v>5</v>
      </c>
      <c r="X27" t="s">
        <v>1932</v>
      </c>
      <c r="Y27">
        <f t="shared" si="0"/>
        <v>170</v>
      </c>
      <c r="Z27" t="str">
        <f t="shared" si="1"/>
        <v>C211-5</v>
      </c>
      <c r="AB27">
        <v>181</v>
      </c>
      <c r="AC27" t="s">
        <v>2101</v>
      </c>
    </row>
    <row r="28" spans="1:29">
      <c r="A28" s="77" t="s">
        <v>252</v>
      </c>
      <c r="B28" s="77" t="str">
        <f>Texte!$B$193</f>
        <v>Aussenwand Holz massiv, innen Vorsatzschale 1-fach beplankt (Lignum)</v>
      </c>
      <c r="C28" s="77" t="s">
        <v>505</v>
      </c>
      <c r="D28" s="77" t="s">
        <v>497</v>
      </c>
      <c r="E28" s="77" t="s">
        <v>242</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341</v>
      </c>
      <c r="U28" s="7" t="s">
        <v>652</v>
      </c>
      <c r="W28">
        <v>1</v>
      </c>
      <c r="X28" t="s">
        <v>1933</v>
      </c>
      <c r="Y28">
        <f t="shared" si="0"/>
        <v>171</v>
      </c>
      <c r="Z28" t="str">
        <f t="shared" si="1"/>
        <v>C212-1</v>
      </c>
      <c r="AB28">
        <v>182</v>
      </c>
      <c r="AC28" t="s">
        <v>2102</v>
      </c>
    </row>
    <row r="29" spans="1:29">
      <c r="A29" s="77" t="s">
        <v>252</v>
      </c>
      <c r="B29" s="77" t="str">
        <f>Texte!$B$194</f>
        <v>Aussenwand Holzständer, innen Vorsatzschale 1-fach beplankt (Lignum)</v>
      </c>
      <c r="C29" s="77" t="s">
        <v>504</v>
      </c>
      <c r="D29" s="77" t="s">
        <v>496</v>
      </c>
      <c r="E29" s="77" t="s">
        <v>242</v>
      </c>
      <c r="F29" s="77" t="s">
        <v>30</v>
      </c>
      <c r="G29" s="7">
        <v>60</v>
      </c>
      <c r="H29" s="43">
        <v>2.7870370370370368</v>
      </c>
      <c r="I29" s="43">
        <v>0</v>
      </c>
      <c r="J29" s="43">
        <v>0</v>
      </c>
      <c r="K29" s="47">
        <v>0.59733333333333338</v>
      </c>
      <c r="L29" s="47"/>
      <c r="M29" s="47"/>
      <c r="N29" s="50">
        <v>783.9</v>
      </c>
      <c r="O29" s="50"/>
      <c r="P29" s="50"/>
      <c r="Q29" s="7" t="s">
        <v>20</v>
      </c>
      <c r="R29" s="7"/>
      <c r="S29" s="8" t="s">
        <v>30</v>
      </c>
      <c r="T29" s="8" t="s">
        <v>341</v>
      </c>
      <c r="U29" s="7" t="s">
        <v>652</v>
      </c>
      <c r="W29">
        <v>2</v>
      </c>
      <c r="X29" t="s">
        <v>1934</v>
      </c>
      <c r="Y29">
        <f t="shared" si="0"/>
        <v>172</v>
      </c>
      <c r="Z29" t="str">
        <f t="shared" si="1"/>
        <v>C212-2</v>
      </c>
      <c r="AB29">
        <v>183</v>
      </c>
      <c r="AC29" t="s">
        <v>2105</v>
      </c>
    </row>
    <row r="30" spans="1:29">
      <c r="A30" s="75" t="s">
        <v>252</v>
      </c>
      <c r="B30" s="77" t="str">
        <f>Texte!$B$287</f>
        <v>Backsteinwand mit Innenputz, Zweischalenmauerwerk (SIA 2032)</v>
      </c>
      <c r="C30" s="75"/>
      <c r="D30" s="75"/>
      <c r="E30" s="75" t="s">
        <v>242</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341</v>
      </c>
      <c r="U30" s="7" t="s">
        <v>761</v>
      </c>
      <c r="W30">
        <v>3</v>
      </c>
      <c r="X30" t="s">
        <v>1935</v>
      </c>
      <c r="Y30">
        <f t="shared" si="0"/>
        <v>265</v>
      </c>
      <c r="Z30" t="str">
        <f t="shared" si="1"/>
        <v>C212-3</v>
      </c>
      <c r="AB30">
        <v>184</v>
      </c>
      <c r="AC30" t="s">
        <v>2106</v>
      </c>
    </row>
    <row r="31" spans="1:29">
      <c r="A31" s="75" t="s">
        <v>252</v>
      </c>
      <c r="B31" s="77" t="str">
        <f>Texte!$B$288</f>
        <v>Backsteinwand mit Innenputz, hinterlüftete Bekleidung Faserzement/Naturstein (SIA 2032)</v>
      </c>
      <c r="C31" s="75"/>
      <c r="D31" s="75"/>
      <c r="E31" s="75" t="s">
        <v>242</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341</v>
      </c>
      <c r="U31" s="7" t="s">
        <v>761</v>
      </c>
      <c r="W31">
        <v>4</v>
      </c>
      <c r="X31" t="s">
        <v>1936</v>
      </c>
      <c r="Y31">
        <f t="shared" si="0"/>
        <v>266</v>
      </c>
      <c r="Z31" t="str">
        <f t="shared" si="1"/>
        <v>C212-4</v>
      </c>
      <c r="AB31">
        <v>185</v>
      </c>
      <c r="AC31" t="s">
        <v>2107</v>
      </c>
    </row>
    <row r="32" spans="1:29">
      <c r="A32" s="75" t="s">
        <v>252</v>
      </c>
      <c r="B32" s="77" t="str">
        <f>Texte!$B$289</f>
        <v>Backsteinwand mit Innenputz, hinterlüftete Bekleidung Holz (SIA 2032)</v>
      </c>
      <c r="C32" s="75"/>
      <c r="D32" s="75"/>
      <c r="E32" s="75" t="s">
        <v>242</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341</v>
      </c>
      <c r="U32" s="7" t="s">
        <v>761</v>
      </c>
      <c r="W32">
        <v>5</v>
      </c>
      <c r="X32" t="s">
        <v>1937</v>
      </c>
      <c r="Y32">
        <f t="shared" si="0"/>
        <v>267</v>
      </c>
      <c r="Z32" t="str">
        <f t="shared" si="1"/>
        <v>C212-5</v>
      </c>
      <c r="AB32">
        <v>186</v>
      </c>
      <c r="AC32" t="s">
        <v>2108</v>
      </c>
    </row>
    <row r="33" spans="1:29">
      <c r="A33" s="75" t="s">
        <v>252</v>
      </c>
      <c r="B33" s="77" t="str">
        <f>Texte!$B$290</f>
        <v>Backsteinwand mit Innenputz, hinterlüftete Bekleidung Metall/Glas (SIA 2032)</v>
      </c>
      <c r="C33" s="75"/>
      <c r="D33" s="75"/>
      <c r="E33" s="75" t="s">
        <v>242</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341</v>
      </c>
      <c r="U33" s="7" t="s">
        <v>761</v>
      </c>
      <c r="W33">
        <v>6</v>
      </c>
      <c r="X33" t="s">
        <v>1938</v>
      </c>
      <c r="Y33">
        <f t="shared" si="0"/>
        <v>268</v>
      </c>
      <c r="Z33" t="str">
        <f t="shared" si="1"/>
        <v>C212-6</v>
      </c>
      <c r="AB33">
        <v>187</v>
      </c>
      <c r="AC33" t="s">
        <v>2109</v>
      </c>
    </row>
    <row r="34" spans="1:29">
      <c r="A34" s="75" t="s">
        <v>252</v>
      </c>
      <c r="B34" s="77" t="str">
        <f>Texte!$B$291</f>
        <v>Backsteinwand mit Innenputz, verputzte Aussenwärmedämmung (SIA 2032)</v>
      </c>
      <c r="C34" s="75"/>
      <c r="D34" s="75"/>
      <c r="E34" s="75" t="s">
        <v>242</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341</v>
      </c>
      <c r="U34" s="7" t="s">
        <v>761</v>
      </c>
      <c r="W34">
        <v>7</v>
      </c>
      <c r="X34" t="s">
        <v>1939</v>
      </c>
      <c r="Y34">
        <f t="shared" si="0"/>
        <v>269</v>
      </c>
      <c r="Z34" t="str">
        <f t="shared" si="1"/>
        <v>C212-7</v>
      </c>
      <c r="AB34">
        <v>188</v>
      </c>
      <c r="AC34" t="s">
        <v>2110</v>
      </c>
    </row>
    <row r="35" spans="1:29">
      <c r="A35" s="75" t="s">
        <v>252</v>
      </c>
      <c r="B35" s="77" t="str">
        <f>Texte!$B$283</f>
        <v>Betonwand mit Innenputz, äussere Backsteinverkleidung  (SIA 2032)</v>
      </c>
      <c r="C35" s="75"/>
      <c r="D35" s="75"/>
      <c r="E35" s="75" t="s">
        <v>242</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341</v>
      </c>
      <c r="U35" s="7" t="s">
        <v>761</v>
      </c>
      <c r="W35">
        <v>8</v>
      </c>
      <c r="X35" t="s">
        <v>1940</v>
      </c>
      <c r="Y35">
        <f t="shared" si="0"/>
        <v>261</v>
      </c>
      <c r="Z35" t="str">
        <f t="shared" si="1"/>
        <v>C212-8</v>
      </c>
      <c r="AB35">
        <v>189</v>
      </c>
      <c r="AC35" t="s">
        <v>2111</v>
      </c>
    </row>
    <row r="36" spans="1:29">
      <c r="A36" s="75" t="s">
        <v>252</v>
      </c>
      <c r="B36" s="77" t="str">
        <f>Texte!$B$284</f>
        <v>Betonwand mit Innenputz, hinterlüftete Bekleidung Faserzement/Naturstein (SIA 2032)</v>
      </c>
      <c r="C36" s="75"/>
      <c r="D36" s="75"/>
      <c r="E36" s="75" t="s">
        <v>242</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341</v>
      </c>
      <c r="U36" s="7" t="s">
        <v>761</v>
      </c>
      <c r="W36">
        <v>9</v>
      </c>
      <c r="X36" t="s">
        <v>1941</v>
      </c>
      <c r="Y36">
        <f t="shared" si="0"/>
        <v>262</v>
      </c>
      <c r="Z36" t="str">
        <f t="shared" si="1"/>
        <v>C212-9</v>
      </c>
      <c r="AB36">
        <v>190</v>
      </c>
      <c r="AC36" t="s">
        <v>2112</v>
      </c>
    </row>
    <row r="37" spans="1:29">
      <c r="A37" s="75" t="s">
        <v>252</v>
      </c>
      <c r="B37" s="77" t="str">
        <f>Texte!$B$285</f>
        <v>Betonwand mit Innenputz, hinterlüftete Bekleidung Metall/Glas (SIA 2032)</v>
      </c>
      <c r="C37" s="75"/>
      <c r="D37" s="75"/>
      <c r="E37" s="75" t="s">
        <v>242</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341</v>
      </c>
      <c r="U37" s="7" t="s">
        <v>761</v>
      </c>
      <c r="W37">
        <v>10</v>
      </c>
      <c r="X37" t="s">
        <v>1942</v>
      </c>
      <c r="Y37">
        <f t="shared" si="0"/>
        <v>263</v>
      </c>
      <c r="Z37" t="str">
        <f t="shared" si="1"/>
        <v>C212-10</v>
      </c>
      <c r="AB37">
        <v>191</v>
      </c>
      <c r="AC37" t="s">
        <v>2113</v>
      </c>
    </row>
    <row r="38" spans="1:29">
      <c r="A38" s="75" t="s">
        <v>252</v>
      </c>
      <c r="B38" s="77" t="str">
        <f>Texte!$B$286</f>
        <v>Betonwand mit Innenputz, verputzte Aussenwärmedämmung (SIA 2032)</v>
      </c>
      <c r="C38" s="75"/>
      <c r="D38" s="75"/>
      <c r="E38" s="75" t="s">
        <v>242</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341</v>
      </c>
      <c r="U38" s="7" t="s">
        <v>761</v>
      </c>
      <c r="W38">
        <v>11</v>
      </c>
      <c r="X38" t="s">
        <v>1943</v>
      </c>
      <c r="Y38">
        <f t="shared" si="0"/>
        <v>264</v>
      </c>
      <c r="Z38" t="str">
        <f t="shared" si="1"/>
        <v>C212-11</v>
      </c>
      <c r="AB38">
        <v>192</v>
      </c>
      <c r="AC38" t="s">
        <v>2114</v>
      </c>
    </row>
    <row r="39" spans="1:29">
      <c r="A39" s="75" t="s">
        <v>252</v>
      </c>
      <c r="B39" s="77" t="str">
        <f>Texte!$B$295</f>
        <v>Einsteinmauerwerk dämmend, mit Innenputz und Aussenputz (SIA 2032)</v>
      </c>
      <c r="C39" s="75"/>
      <c r="D39" s="75"/>
      <c r="E39" s="75" t="s">
        <v>242</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341</v>
      </c>
      <c r="U39" s="7" t="s">
        <v>761</v>
      </c>
      <c r="W39">
        <v>12</v>
      </c>
      <c r="X39" t="s">
        <v>2051</v>
      </c>
      <c r="Y39">
        <f t="shared" si="0"/>
        <v>273</v>
      </c>
      <c r="Z39" t="str">
        <f t="shared" si="1"/>
        <v>C212-12</v>
      </c>
      <c r="AB39">
        <v>193</v>
      </c>
      <c r="AC39" t="s">
        <v>2115</v>
      </c>
    </row>
    <row r="40" spans="1:29">
      <c r="A40" s="75" t="s">
        <v>252</v>
      </c>
      <c r="B40" s="77" t="str">
        <f>Texte!$B$296</f>
        <v>Einsteinmauerwerk dämmend, mit Innenputz und verputzter Aussenwärmedämmung (SIA 2032)</v>
      </c>
      <c r="C40" s="75"/>
      <c r="D40" s="75"/>
      <c r="E40" s="75" t="s">
        <v>242</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341</v>
      </c>
      <c r="U40" s="7" t="s">
        <v>761</v>
      </c>
      <c r="W40">
        <v>13</v>
      </c>
      <c r="X40" t="s">
        <v>2052</v>
      </c>
      <c r="Y40">
        <f t="shared" si="0"/>
        <v>274</v>
      </c>
      <c r="Z40" t="str">
        <f t="shared" si="1"/>
        <v>C212-13</v>
      </c>
      <c r="AB40">
        <v>194</v>
      </c>
      <c r="AC40" t="s">
        <v>2116</v>
      </c>
    </row>
    <row r="41" spans="1:29">
      <c r="A41" s="75" t="s">
        <v>252</v>
      </c>
      <c r="B41" s="77" t="str">
        <f>Texte!$B$292</f>
        <v>Holzwand mit innerer Gipsbekleidung, hinterlüftete Bekleidung Faserzement/Naturstein (SIA 2032)</v>
      </c>
      <c r="C41" s="75"/>
      <c r="D41" s="75"/>
      <c r="E41" s="75" t="s">
        <v>242</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341</v>
      </c>
      <c r="U41" s="7" t="s">
        <v>761</v>
      </c>
      <c r="W41">
        <v>14</v>
      </c>
      <c r="X41" t="s">
        <v>2053</v>
      </c>
      <c r="Y41">
        <f t="shared" si="0"/>
        <v>270</v>
      </c>
      <c r="Z41" t="str">
        <f t="shared" si="1"/>
        <v>C212-14</v>
      </c>
      <c r="AB41">
        <v>195</v>
      </c>
      <c r="AC41" t="s">
        <v>2117</v>
      </c>
    </row>
    <row r="42" spans="1:29">
      <c r="A42" s="75" t="s">
        <v>252</v>
      </c>
      <c r="B42" s="77" t="str">
        <f>Texte!$B$293</f>
        <v>Holzwand mit innerer Gipsbekleidung, hinterlüftete Bekleidung Holz (SIA 2032)</v>
      </c>
      <c r="C42" s="75"/>
      <c r="D42" s="75"/>
      <c r="E42" s="75" t="s">
        <v>242</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341</v>
      </c>
      <c r="U42" s="7" t="s">
        <v>761</v>
      </c>
      <c r="W42">
        <v>15</v>
      </c>
      <c r="X42" t="s">
        <v>2054</v>
      </c>
      <c r="Y42">
        <f t="shared" si="0"/>
        <v>271</v>
      </c>
      <c r="Z42" t="str">
        <f t="shared" si="1"/>
        <v>C212-15</v>
      </c>
      <c r="AB42">
        <v>196</v>
      </c>
      <c r="AC42" t="s">
        <v>2118</v>
      </c>
    </row>
    <row r="43" spans="1:29">
      <c r="A43" s="75" t="s">
        <v>252</v>
      </c>
      <c r="B43" s="77" t="str">
        <f>Texte!$B$294</f>
        <v>Holzwand mit innerer Gipsbekleidung, hinterlüftete Bekleidung Metall/Glas (SIA 2032)</v>
      </c>
      <c r="C43" s="75"/>
      <c r="D43" s="75"/>
      <c r="E43" s="75" t="s">
        <v>242</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341</v>
      </c>
      <c r="U43" s="7" t="s">
        <v>761</v>
      </c>
      <c r="W43">
        <v>16</v>
      </c>
      <c r="X43" t="s">
        <v>2055</v>
      </c>
      <c r="Y43">
        <f t="shared" si="0"/>
        <v>272</v>
      </c>
      <c r="Z43" t="str">
        <f t="shared" si="1"/>
        <v>C212-16</v>
      </c>
      <c r="AB43">
        <v>197</v>
      </c>
      <c r="AC43" t="s">
        <v>2120</v>
      </c>
    </row>
    <row r="44" spans="1:29">
      <c r="A44" s="75" t="s">
        <v>252</v>
      </c>
      <c r="B44" s="77" t="str">
        <f>Texte!$B$297</f>
        <v>Stützenraster, Fassadensystem Alu/Glas (SIA 2032)</v>
      </c>
      <c r="C44" s="75"/>
      <c r="D44" s="75"/>
      <c r="E44" s="75" t="s">
        <v>242</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341</v>
      </c>
      <c r="U44" s="7" t="s">
        <v>761</v>
      </c>
      <c r="W44">
        <v>17</v>
      </c>
      <c r="X44" t="s">
        <v>2056</v>
      </c>
      <c r="Y44">
        <f t="shared" si="0"/>
        <v>275</v>
      </c>
      <c r="Z44" t="str">
        <f t="shared" si="1"/>
        <v>C212-17</v>
      </c>
      <c r="AB44">
        <v>198</v>
      </c>
      <c r="AC44" t="s">
        <v>2121</v>
      </c>
    </row>
    <row r="45" spans="1:29">
      <c r="A45" s="77" t="s">
        <v>252</v>
      </c>
      <c r="B45" s="77" t="str">
        <f>Texte!$B$195</f>
        <v>Backsteinmauerwerk, Aussenwärmedämmung hinterlüftet (BTK)</v>
      </c>
      <c r="C45" s="77" t="s">
        <v>581</v>
      </c>
      <c r="D45" s="77" t="s">
        <v>582</v>
      </c>
      <c r="E45" s="77" t="s">
        <v>242</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341</v>
      </c>
      <c r="U45" s="7" t="s">
        <v>651</v>
      </c>
      <c r="W45">
        <v>18</v>
      </c>
      <c r="X45" t="s">
        <v>1944</v>
      </c>
      <c r="Y45">
        <f t="shared" si="0"/>
        <v>173</v>
      </c>
      <c r="Z45" t="str">
        <f t="shared" si="1"/>
        <v>C212-18</v>
      </c>
      <c r="AB45">
        <v>199</v>
      </c>
      <c r="AC45" t="s">
        <v>2122</v>
      </c>
    </row>
    <row r="46" spans="1:29">
      <c r="A46" s="77" t="s">
        <v>252</v>
      </c>
      <c r="B46" s="77" t="str">
        <f>Texte!$B$196</f>
        <v>Betonwand 20cm, Aussenwärmedämmung EPS verputzt (BTK)</v>
      </c>
      <c r="C46" s="77" t="s">
        <v>579</v>
      </c>
      <c r="D46" s="77" t="s">
        <v>580</v>
      </c>
      <c r="E46" s="77" t="s">
        <v>242</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341</v>
      </c>
      <c r="U46" s="7" t="s">
        <v>651</v>
      </c>
      <c r="W46">
        <v>19</v>
      </c>
      <c r="X46" t="s">
        <v>1945</v>
      </c>
      <c r="Y46">
        <f t="shared" si="0"/>
        <v>174</v>
      </c>
      <c r="Z46" t="str">
        <f t="shared" si="1"/>
        <v>C212-19</v>
      </c>
      <c r="AB46">
        <v>200</v>
      </c>
      <c r="AC46" t="s">
        <v>2123</v>
      </c>
    </row>
    <row r="47" spans="1:29">
      <c r="A47" s="77" t="s">
        <v>252</v>
      </c>
      <c r="B47" s="77" t="str">
        <f>Texte!$B$197</f>
        <v>Einschalenbacksteinmauerwerk, Aussenwärmedämmung EPS verputzt (BTK)</v>
      </c>
      <c r="C47" s="77" t="s">
        <v>577</v>
      </c>
      <c r="D47" s="78" t="s">
        <v>578</v>
      </c>
      <c r="E47" s="77" t="s">
        <v>242</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341</v>
      </c>
      <c r="U47" s="7" t="s">
        <v>651</v>
      </c>
      <c r="W47">
        <v>20</v>
      </c>
      <c r="X47" t="s">
        <v>1946</v>
      </c>
      <c r="Y47">
        <f t="shared" si="0"/>
        <v>175</v>
      </c>
      <c r="Z47" t="str">
        <f t="shared" si="1"/>
        <v>C212-20</v>
      </c>
      <c r="AB47">
        <v>201</v>
      </c>
      <c r="AC47" t="s">
        <v>2125</v>
      </c>
    </row>
    <row r="48" spans="1:29">
      <c r="A48" s="77" t="s">
        <v>252</v>
      </c>
      <c r="B48" s="77" t="str">
        <f>Texte!$B$198</f>
        <v>Holzelementwand ausgedämmt (BTK)</v>
      </c>
      <c r="C48" s="77" t="s">
        <v>585</v>
      </c>
      <c r="D48" s="77" t="s">
        <v>586</v>
      </c>
      <c r="E48" s="77" t="s">
        <v>242</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341</v>
      </c>
      <c r="U48" s="7" t="s">
        <v>651</v>
      </c>
      <c r="W48">
        <v>21</v>
      </c>
      <c r="X48" t="s">
        <v>1947</v>
      </c>
      <c r="Y48">
        <f t="shared" si="0"/>
        <v>176</v>
      </c>
      <c r="Z48" t="str">
        <f t="shared" si="1"/>
        <v>C212-21</v>
      </c>
      <c r="AB48">
        <v>202</v>
      </c>
      <c r="AC48" t="s">
        <v>2127</v>
      </c>
    </row>
    <row r="49" spans="1:29">
      <c r="A49" s="77" t="s">
        <v>252</v>
      </c>
      <c r="B49" s="77" t="str">
        <f>Texte!$B$199</f>
        <v>Stahlblech-Sandwichpaneele (BTK)</v>
      </c>
      <c r="C49" s="77" t="s">
        <v>576</v>
      </c>
      <c r="D49" s="77" t="s">
        <v>575</v>
      </c>
      <c r="E49" s="77" t="s">
        <v>242</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341</v>
      </c>
      <c r="U49" s="7" t="s">
        <v>651</v>
      </c>
      <c r="W49">
        <v>22</v>
      </c>
      <c r="X49" t="s">
        <v>1948</v>
      </c>
      <c r="Y49">
        <f t="shared" si="0"/>
        <v>177</v>
      </c>
      <c r="Z49" t="str">
        <f t="shared" si="1"/>
        <v>C212-22</v>
      </c>
      <c r="AB49">
        <v>203</v>
      </c>
      <c r="AC49" t="s">
        <v>2128</v>
      </c>
    </row>
    <row r="50" spans="1:29">
      <c r="A50" s="77" t="s">
        <v>252</v>
      </c>
      <c r="B50" s="77" t="str">
        <f>Texte!$B$200</f>
        <v>Stahlkassetten mit Zusatzdämmung, Stahlblechverkleidung (BTK)</v>
      </c>
      <c r="C50" s="77" t="s">
        <v>573</v>
      </c>
      <c r="D50" s="77" t="s">
        <v>574</v>
      </c>
      <c r="E50" s="77" t="s">
        <v>242</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341</v>
      </c>
      <c r="U50" s="7" t="s">
        <v>651</v>
      </c>
      <c r="W50">
        <v>23</v>
      </c>
      <c r="X50" t="s">
        <v>1949</v>
      </c>
      <c r="Y50">
        <f t="shared" si="0"/>
        <v>178</v>
      </c>
      <c r="Z50" t="str">
        <f t="shared" si="1"/>
        <v>C212-23</v>
      </c>
      <c r="AB50">
        <v>204</v>
      </c>
      <c r="AC50" t="s">
        <v>2129</v>
      </c>
    </row>
    <row r="51" spans="1:29">
      <c r="A51" s="77" t="s">
        <v>252</v>
      </c>
      <c r="B51" s="77" t="str">
        <f>Texte!$B$201</f>
        <v>Zweischalenmauerwerk verputzt, Kerndämmung (BTK)</v>
      </c>
      <c r="C51" s="77" t="s">
        <v>583</v>
      </c>
      <c r="D51" s="77" t="s">
        <v>584</v>
      </c>
      <c r="E51" s="77" t="s">
        <v>242</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341</v>
      </c>
      <c r="U51" s="7" t="s">
        <v>651</v>
      </c>
      <c r="W51">
        <v>24</v>
      </c>
      <c r="X51" t="s">
        <v>1950</v>
      </c>
      <c r="Y51">
        <f t="shared" si="0"/>
        <v>179</v>
      </c>
      <c r="Z51" t="str">
        <f t="shared" si="1"/>
        <v>C212-24</v>
      </c>
      <c r="AB51">
        <v>205</v>
      </c>
      <c r="AC51" t="s">
        <v>2130</v>
      </c>
    </row>
    <row r="52" spans="1:29">
      <c r="A52" s="77" t="s">
        <v>253</v>
      </c>
      <c r="B52" s="77" t="str">
        <f>Texte!$B$202</f>
        <v>Backstein-Innenwand verputzt (BTK)</v>
      </c>
      <c r="C52" s="77" t="s">
        <v>597</v>
      </c>
      <c r="D52" s="77" t="s">
        <v>598</v>
      </c>
      <c r="E52" s="77" t="s">
        <v>242</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266</v>
      </c>
      <c r="S52" s="8" t="s">
        <v>30</v>
      </c>
      <c r="T52" s="8" t="s">
        <v>341</v>
      </c>
      <c r="U52" s="7" t="s">
        <v>651</v>
      </c>
      <c r="W52">
        <v>1</v>
      </c>
      <c r="X52" t="s">
        <v>1951</v>
      </c>
      <c r="Y52">
        <f t="shared" si="0"/>
        <v>180</v>
      </c>
      <c r="Z52" t="str">
        <f t="shared" si="1"/>
        <v>C22-1</v>
      </c>
      <c r="AB52">
        <v>206</v>
      </c>
      <c r="AC52" t="s">
        <v>2131</v>
      </c>
    </row>
    <row r="53" spans="1:29">
      <c r="A53" s="77" t="s">
        <v>253</v>
      </c>
      <c r="B53" s="77" t="str">
        <f>Texte!$B$203</f>
        <v>Betonwand 20cm (BTK)</v>
      </c>
      <c r="C53" s="77" t="s">
        <v>601</v>
      </c>
      <c r="D53" s="77" t="s">
        <v>602</v>
      </c>
      <c r="E53" s="77" t="s">
        <v>242</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266</v>
      </c>
      <c r="S53" s="8" t="s">
        <v>30</v>
      </c>
      <c r="T53" s="8" t="s">
        <v>341</v>
      </c>
      <c r="U53" s="7" t="s">
        <v>651</v>
      </c>
      <c r="W53">
        <v>2</v>
      </c>
      <c r="X53" t="s">
        <v>1952</v>
      </c>
      <c r="Y53">
        <f t="shared" si="0"/>
        <v>181</v>
      </c>
      <c r="Z53" t="str">
        <f t="shared" si="1"/>
        <v>C22-2</v>
      </c>
      <c r="AB53">
        <v>207</v>
      </c>
      <c r="AC53" t="s">
        <v>2137</v>
      </c>
    </row>
    <row r="54" spans="1:29">
      <c r="A54" s="77" t="s">
        <v>253</v>
      </c>
      <c r="B54" s="77" t="str">
        <f>Texte!$B$204</f>
        <v>Leichtbauwand Gipskarton, 2-fach beplankt (BTK)</v>
      </c>
      <c r="C54" s="77" t="s">
        <v>603</v>
      </c>
      <c r="D54" s="77" t="s">
        <v>604</v>
      </c>
      <c r="E54" s="77" t="s">
        <v>242</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266</v>
      </c>
      <c r="S54" s="8" t="s">
        <v>30</v>
      </c>
      <c r="T54" s="8" t="s">
        <v>341</v>
      </c>
      <c r="U54" s="7" t="s">
        <v>651</v>
      </c>
      <c r="W54">
        <v>3</v>
      </c>
      <c r="X54" t="s">
        <v>1953</v>
      </c>
      <c r="Y54">
        <f t="shared" si="0"/>
        <v>182</v>
      </c>
      <c r="Z54" t="str">
        <f t="shared" si="1"/>
        <v>C22-3</v>
      </c>
      <c r="AB54">
        <v>208</v>
      </c>
      <c r="AC54" t="s">
        <v>2138</v>
      </c>
    </row>
    <row r="55" spans="1:29">
      <c r="A55" s="75" t="s">
        <v>253</v>
      </c>
      <c r="B55" s="77" t="str">
        <f>Texte!$B$305</f>
        <v>Mittelwert Innenwand nicht tragend (mit Innenputz) (SIA 2032)</v>
      </c>
      <c r="C55" s="75"/>
      <c r="D55" s="75"/>
      <c r="E55" s="75" t="s">
        <v>242</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266</v>
      </c>
      <c r="S55" s="8" t="s">
        <v>30</v>
      </c>
      <c r="T55" s="8" t="s">
        <v>341</v>
      </c>
      <c r="U55" s="7" t="s">
        <v>761</v>
      </c>
      <c r="W55">
        <v>4</v>
      </c>
      <c r="X55" t="s">
        <v>1954</v>
      </c>
      <c r="Y55">
        <f t="shared" si="0"/>
        <v>283</v>
      </c>
      <c r="Z55" t="str">
        <f t="shared" si="1"/>
        <v>C22-4</v>
      </c>
      <c r="AB55">
        <v>209</v>
      </c>
      <c r="AC55" t="s">
        <v>2139</v>
      </c>
    </row>
    <row r="56" spans="1:29">
      <c r="A56" s="75" t="s">
        <v>253</v>
      </c>
      <c r="B56" s="77" t="str">
        <f>Texte!$B$304</f>
        <v>Mittelwert Innenwand tragend (mit Innenputz) (SIA 2032)</v>
      </c>
      <c r="C56" s="75"/>
      <c r="D56" s="75"/>
      <c r="E56" s="75" t="s">
        <v>242</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266</v>
      </c>
      <c r="S56" s="8" t="s">
        <v>30</v>
      </c>
      <c r="T56" s="8" t="s">
        <v>341</v>
      </c>
      <c r="U56" s="7" t="s">
        <v>761</v>
      </c>
      <c r="W56">
        <v>5</v>
      </c>
      <c r="X56" t="s">
        <v>1955</v>
      </c>
      <c r="Y56">
        <f t="shared" si="0"/>
        <v>282</v>
      </c>
      <c r="Z56" t="str">
        <f t="shared" si="1"/>
        <v>C22-5</v>
      </c>
      <c r="AB56">
        <v>210</v>
      </c>
      <c r="AC56" t="s">
        <v>2140</v>
      </c>
    </row>
    <row r="57" spans="1:29">
      <c r="A57" s="77" t="s">
        <v>253</v>
      </c>
      <c r="B57" s="77" t="str">
        <f>Texte!$B$205</f>
        <v>Trennwand 1-schalig, Ständer, Gipskarton einfach beplankt (Lignum)</v>
      </c>
      <c r="C57" s="77" t="s">
        <v>502</v>
      </c>
      <c r="D57" s="77" t="s">
        <v>499</v>
      </c>
      <c r="E57" s="77" t="s">
        <v>242</v>
      </c>
      <c r="F57" s="77" t="s">
        <v>30</v>
      </c>
      <c r="G57" s="7">
        <v>30</v>
      </c>
      <c r="H57" s="43">
        <v>3.5833333333333335</v>
      </c>
      <c r="I57" s="43">
        <v>0</v>
      </c>
      <c r="J57" s="43">
        <v>0</v>
      </c>
      <c r="K57" s="47">
        <v>0.77333333333333332</v>
      </c>
      <c r="L57" s="47"/>
      <c r="M57" s="47"/>
      <c r="N57" s="50">
        <v>1180.9000000000001</v>
      </c>
      <c r="O57" s="50"/>
      <c r="P57" s="50"/>
      <c r="Q57" s="7" t="s">
        <v>19</v>
      </c>
      <c r="R57" s="7" t="s">
        <v>266</v>
      </c>
      <c r="S57" s="8" t="s">
        <v>30</v>
      </c>
      <c r="T57" s="8" t="s">
        <v>341</v>
      </c>
      <c r="U57" s="7" t="s">
        <v>652</v>
      </c>
      <c r="W57">
        <v>6</v>
      </c>
      <c r="X57" t="s">
        <v>1956</v>
      </c>
      <c r="Y57">
        <f t="shared" si="0"/>
        <v>183</v>
      </c>
      <c r="Z57" t="str">
        <f t="shared" si="1"/>
        <v>C22-6</v>
      </c>
      <c r="AB57">
        <v>211</v>
      </c>
      <c r="AC57" t="s">
        <v>2141</v>
      </c>
    </row>
    <row r="58" spans="1:29">
      <c r="A58" s="77" t="s">
        <v>253</v>
      </c>
      <c r="B58" s="77" t="str">
        <f>Texte!$B$206</f>
        <v>Trennwand 2-Schalig, Ständer, Gipskarton einfach beplankt (Lignum)</v>
      </c>
      <c r="C58" s="77" t="s">
        <v>501</v>
      </c>
      <c r="D58" s="77" t="s">
        <v>498</v>
      </c>
      <c r="E58" s="77" t="s">
        <v>242</v>
      </c>
      <c r="F58" s="77" t="s">
        <v>30</v>
      </c>
      <c r="G58" s="7">
        <v>30</v>
      </c>
      <c r="H58" s="43">
        <v>2.5925925925925926</v>
      </c>
      <c r="I58" s="43">
        <v>0</v>
      </c>
      <c r="J58" s="43">
        <v>0</v>
      </c>
      <c r="K58" s="47">
        <v>0.58666666666666667</v>
      </c>
      <c r="L58" s="47"/>
      <c r="M58" s="47"/>
      <c r="N58" s="50">
        <v>864.76666666666665</v>
      </c>
      <c r="O58" s="50"/>
      <c r="P58" s="50"/>
      <c r="Q58" s="7" t="s">
        <v>19</v>
      </c>
      <c r="R58" s="7" t="s">
        <v>266</v>
      </c>
      <c r="S58" s="8" t="s">
        <v>30</v>
      </c>
      <c r="T58" s="8" t="s">
        <v>341</v>
      </c>
      <c r="U58" s="7" t="s">
        <v>652</v>
      </c>
      <c r="W58">
        <v>7</v>
      </c>
      <c r="X58" t="s">
        <v>1957</v>
      </c>
      <c r="Y58">
        <f t="shared" si="0"/>
        <v>184</v>
      </c>
      <c r="Z58" t="str">
        <f t="shared" si="1"/>
        <v>C22-7</v>
      </c>
      <c r="AB58">
        <v>212</v>
      </c>
      <c r="AC58" t="s">
        <v>2142</v>
      </c>
    </row>
    <row r="59" spans="1:29">
      <c r="A59" s="77" t="s">
        <v>253</v>
      </c>
      <c r="B59" s="77" t="str">
        <f>Texte!$B$207</f>
        <v>Trennwand Holz (BTK)</v>
      </c>
      <c r="C59" s="77" t="s">
        <v>607</v>
      </c>
      <c r="D59" s="77" t="s">
        <v>608</v>
      </c>
      <c r="E59" s="77" t="s">
        <v>242</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266</v>
      </c>
      <c r="S59" s="8" t="s">
        <v>30</v>
      </c>
      <c r="T59" s="8" t="s">
        <v>341</v>
      </c>
      <c r="U59" s="7" t="s">
        <v>651</v>
      </c>
      <c r="W59">
        <v>8</v>
      </c>
      <c r="X59" t="s">
        <v>1958</v>
      </c>
      <c r="Y59">
        <f t="shared" si="0"/>
        <v>185</v>
      </c>
      <c r="Z59" t="str">
        <f t="shared" si="1"/>
        <v>C22-8</v>
      </c>
      <c r="AB59">
        <v>213</v>
      </c>
      <c r="AC59" t="s">
        <v>2143</v>
      </c>
    </row>
    <row r="60" spans="1:29">
      <c r="A60" s="77" t="s">
        <v>253</v>
      </c>
      <c r="B60" s="77" t="str">
        <f>Texte!$B$208</f>
        <v>Trennwand Holz massiv, mit Vorsatzschale Gipskarton doppelt beplankt (Lignum)</v>
      </c>
      <c r="C60" s="77" t="s">
        <v>503</v>
      </c>
      <c r="D60" s="77" t="s">
        <v>500</v>
      </c>
      <c r="E60" s="77" t="s">
        <v>242</v>
      </c>
      <c r="F60" s="77" t="s">
        <v>30</v>
      </c>
      <c r="G60" s="7">
        <v>30</v>
      </c>
      <c r="H60" s="43">
        <v>7.2962962962962958</v>
      </c>
      <c r="I60" s="43">
        <v>0</v>
      </c>
      <c r="J60" s="43">
        <v>0</v>
      </c>
      <c r="K60" s="47">
        <v>1.5363333333333336</v>
      </c>
      <c r="L60" s="47"/>
      <c r="M60" s="47"/>
      <c r="N60" s="50">
        <v>2293.2666666666669</v>
      </c>
      <c r="O60" s="50"/>
      <c r="P60" s="50"/>
      <c r="Q60" s="7" t="s">
        <v>19</v>
      </c>
      <c r="R60" s="7" t="s">
        <v>266</v>
      </c>
      <c r="S60" s="8" t="s">
        <v>30</v>
      </c>
      <c r="T60" s="8" t="s">
        <v>341</v>
      </c>
      <c r="U60" s="7" t="s">
        <v>652</v>
      </c>
      <c r="W60">
        <v>9</v>
      </c>
      <c r="X60" t="s">
        <v>1959</v>
      </c>
      <c r="Y60">
        <f t="shared" si="0"/>
        <v>186</v>
      </c>
      <c r="Z60" t="str">
        <f t="shared" si="1"/>
        <v>C22-9</v>
      </c>
      <c r="AB60">
        <v>214</v>
      </c>
      <c r="AC60" t="s">
        <v>2148</v>
      </c>
    </row>
    <row r="61" spans="1:29">
      <c r="A61" s="77" t="s">
        <v>253</v>
      </c>
      <c r="B61" s="77" t="str">
        <f>Texte!$B$209</f>
        <v>Trennwand Vollgips (BTK)</v>
      </c>
      <c r="C61" s="77" t="s">
        <v>605</v>
      </c>
      <c r="D61" s="77" t="s">
        <v>606</v>
      </c>
      <c r="E61" s="77" t="s">
        <v>242</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266</v>
      </c>
      <c r="S61" s="8" t="s">
        <v>30</v>
      </c>
      <c r="T61" s="8" t="s">
        <v>341</v>
      </c>
      <c r="U61" s="7" t="s">
        <v>651</v>
      </c>
      <c r="W61">
        <v>10</v>
      </c>
      <c r="X61" t="s">
        <v>1960</v>
      </c>
      <c r="Y61">
        <f t="shared" si="0"/>
        <v>187</v>
      </c>
      <c r="Z61" t="str">
        <f t="shared" si="1"/>
        <v>C22-10</v>
      </c>
      <c r="AB61">
        <v>215</v>
      </c>
      <c r="AC61" t="s">
        <v>2149</v>
      </c>
    </row>
    <row r="62" spans="1:29">
      <c r="A62" s="77" t="s">
        <v>253</v>
      </c>
      <c r="B62" s="77" t="str">
        <f>Texte!$B$210</f>
        <v>Zweischalige Backsteinwand, verputzt (BTK)</v>
      </c>
      <c r="C62" s="77" t="s">
        <v>599</v>
      </c>
      <c r="D62" s="77" t="s">
        <v>600</v>
      </c>
      <c r="E62" s="77" t="s">
        <v>242</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266</v>
      </c>
      <c r="S62" s="8" t="s">
        <v>30</v>
      </c>
      <c r="T62" s="8" t="s">
        <v>341</v>
      </c>
      <c r="U62" s="7" t="s">
        <v>651</v>
      </c>
      <c r="W62">
        <v>11</v>
      </c>
      <c r="X62" t="s">
        <v>1961</v>
      </c>
      <c r="Y62">
        <f t="shared" si="0"/>
        <v>188</v>
      </c>
      <c r="Z62" t="str">
        <f t="shared" si="1"/>
        <v>C22-11</v>
      </c>
      <c r="AB62">
        <v>216</v>
      </c>
      <c r="AC62" t="s">
        <v>2151</v>
      </c>
    </row>
    <row r="63" spans="1:29">
      <c r="A63" s="77" t="s">
        <v>254</v>
      </c>
      <c r="B63" s="77" t="str">
        <f>Texte!$B$211</f>
        <v>Balkendecke, Nassestrich mit heruntergehängter Decke (Lignum)</v>
      </c>
      <c r="C63" s="77" t="s">
        <v>507</v>
      </c>
      <c r="D63" s="77" t="s">
        <v>517</v>
      </c>
      <c r="E63" s="77" t="s">
        <v>242</v>
      </c>
      <c r="F63" s="77" t="s">
        <v>30</v>
      </c>
      <c r="G63" s="7">
        <v>60</v>
      </c>
      <c r="H63" s="43">
        <v>3.6111111111111112</v>
      </c>
      <c r="I63" s="43">
        <v>0</v>
      </c>
      <c r="J63" s="43">
        <v>0</v>
      </c>
      <c r="K63" s="47">
        <v>0.95133333333333325</v>
      </c>
      <c r="L63" s="47"/>
      <c r="M63" s="47"/>
      <c r="N63" s="50">
        <v>1397.65</v>
      </c>
      <c r="O63" s="50"/>
      <c r="P63" s="50"/>
      <c r="Q63" s="7" t="s">
        <v>19</v>
      </c>
      <c r="R63" s="7" t="s">
        <v>267</v>
      </c>
      <c r="S63" s="8" t="s">
        <v>30</v>
      </c>
      <c r="T63" s="8" t="s">
        <v>341</v>
      </c>
      <c r="U63" s="7" t="s">
        <v>652</v>
      </c>
      <c r="W63">
        <v>1</v>
      </c>
      <c r="X63" t="s">
        <v>1962</v>
      </c>
      <c r="Y63">
        <f t="shared" si="0"/>
        <v>189</v>
      </c>
      <c r="Z63" t="str">
        <f t="shared" si="1"/>
        <v>C41-1</v>
      </c>
      <c r="AB63">
        <v>217</v>
      </c>
      <c r="AC63" t="s">
        <v>2154</v>
      </c>
    </row>
    <row r="64" spans="1:29">
      <c r="A64" s="77" t="s">
        <v>254</v>
      </c>
      <c r="B64" s="77" t="str">
        <f>Texte!$B$212</f>
        <v>Balkendecke, sichtbare Balken, einfache Decke mit Nassestrich (Lignum)</v>
      </c>
      <c r="C64" s="77" t="s">
        <v>506</v>
      </c>
      <c r="D64" s="77" t="s">
        <v>516</v>
      </c>
      <c r="E64" s="77" t="s">
        <v>242</v>
      </c>
      <c r="F64" s="77" t="s">
        <v>30</v>
      </c>
      <c r="G64" s="7">
        <v>60</v>
      </c>
      <c r="H64" s="43">
        <v>2.6064814814814814</v>
      </c>
      <c r="I64" s="43">
        <v>0</v>
      </c>
      <c r="J64" s="43">
        <v>0</v>
      </c>
      <c r="K64" s="47">
        <v>0.71716666666666673</v>
      </c>
      <c r="L64" s="47"/>
      <c r="M64" s="47"/>
      <c r="N64" s="50">
        <v>1173.4000000000001</v>
      </c>
      <c r="O64" s="50"/>
      <c r="P64" s="50"/>
      <c r="Q64" s="7" t="s">
        <v>19</v>
      </c>
      <c r="R64" s="7" t="s">
        <v>267</v>
      </c>
      <c r="S64" s="8" t="s">
        <v>30</v>
      </c>
      <c r="T64" s="8" t="s">
        <v>341</v>
      </c>
      <c r="U64" s="7" t="s">
        <v>652</v>
      </c>
      <c r="W64">
        <v>2</v>
      </c>
      <c r="X64" t="s">
        <v>1963</v>
      </c>
      <c r="Y64">
        <f t="shared" si="0"/>
        <v>190</v>
      </c>
      <c r="Z64" t="str">
        <f t="shared" si="1"/>
        <v>C41-2</v>
      </c>
      <c r="AB64">
        <v>218</v>
      </c>
      <c r="AC64" t="s">
        <v>2155</v>
      </c>
    </row>
    <row r="65" spans="1:29">
      <c r="A65" s="77" t="s">
        <v>254</v>
      </c>
      <c r="B65" s="77" t="str">
        <f>Texte!$B$213</f>
        <v>Balkendecke, sichtbare Balken, einfache Decke mit Trockenestrich (Lignum)</v>
      </c>
      <c r="C65" s="77" t="s">
        <v>509</v>
      </c>
      <c r="D65" s="77" t="s">
        <v>519</v>
      </c>
      <c r="E65" s="77" t="s">
        <v>242</v>
      </c>
      <c r="F65" s="77" t="s">
        <v>30</v>
      </c>
      <c r="G65" s="7">
        <v>60</v>
      </c>
      <c r="H65" s="43">
        <v>2.9861111111111112</v>
      </c>
      <c r="I65" s="43">
        <v>0</v>
      </c>
      <c r="J65" s="43">
        <v>0</v>
      </c>
      <c r="K65" s="47">
        <v>0.60833333333333328</v>
      </c>
      <c r="L65" s="47"/>
      <c r="M65" s="47"/>
      <c r="N65" s="50">
        <v>1054.2833333333333</v>
      </c>
      <c r="O65" s="50"/>
      <c r="P65" s="50"/>
      <c r="Q65" s="7" t="s">
        <v>19</v>
      </c>
      <c r="R65" s="7" t="s">
        <v>267</v>
      </c>
      <c r="S65" s="8" t="s">
        <v>30</v>
      </c>
      <c r="T65" s="8" t="s">
        <v>341</v>
      </c>
      <c r="U65" s="7" t="s">
        <v>652</v>
      </c>
      <c r="W65">
        <v>3</v>
      </c>
      <c r="X65" t="s">
        <v>1964</v>
      </c>
      <c r="Y65">
        <f t="shared" si="0"/>
        <v>191</v>
      </c>
      <c r="Z65" t="str">
        <f t="shared" si="1"/>
        <v>C41-3</v>
      </c>
      <c r="AB65">
        <v>219</v>
      </c>
      <c r="AC65" t="s">
        <v>2156</v>
      </c>
    </row>
    <row r="66" spans="1:29">
      <c r="A66" s="77" t="s">
        <v>254</v>
      </c>
      <c r="B66" s="77" t="str">
        <f>Texte!$B$214</f>
        <v>Balkendecke, Trockenestrich mit heruntergehängter Decke (Lignum)</v>
      </c>
      <c r="C66" s="77" t="s">
        <v>508</v>
      </c>
      <c r="D66" s="77" t="s">
        <v>518</v>
      </c>
      <c r="E66" s="77" t="s">
        <v>242</v>
      </c>
      <c r="F66" s="77" t="s">
        <v>30</v>
      </c>
      <c r="G66" s="7">
        <v>60</v>
      </c>
      <c r="H66" s="43">
        <v>4.5648148148148149</v>
      </c>
      <c r="I66" s="43">
        <v>0</v>
      </c>
      <c r="J66" s="43">
        <v>0</v>
      </c>
      <c r="K66" s="47">
        <v>0.97349999999999992</v>
      </c>
      <c r="L66" s="47"/>
      <c r="M66" s="47"/>
      <c r="N66" s="50">
        <v>1332.65</v>
      </c>
      <c r="O66" s="50"/>
      <c r="P66" s="50"/>
      <c r="Q66" s="7" t="s">
        <v>19</v>
      </c>
      <c r="R66" s="7" t="s">
        <v>267</v>
      </c>
      <c r="S66" s="8" t="s">
        <v>30</v>
      </c>
      <c r="T66" s="8" t="s">
        <v>341</v>
      </c>
      <c r="U66" s="7" t="s">
        <v>652</v>
      </c>
      <c r="W66">
        <v>4</v>
      </c>
      <c r="X66" t="s">
        <v>1965</v>
      </c>
      <c r="Y66">
        <f t="shared" si="0"/>
        <v>192</v>
      </c>
      <c r="Z66" t="str">
        <f t="shared" si="1"/>
        <v>C41-4</v>
      </c>
      <c r="AB66">
        <v>220</v>
      </c>
      <c r="AC66" t="s">
        <v>2158</v>
      </c>
    </row>
    <row r="67" spans="1:29">
      <c r="A67" s="77" t="s">
        <v>254</v>
      </c>
      <c r="B67" s="77" t="str">
        <f>Texte!$B$215</f>
        <v>Betondecke 22 cm mit innerer Wärmedämmung EPS, Trittschalldämmung, Unterlagsboden (BTK)</v>
      </c>
      <c r="C67" s="77" t="s">
        <v>543</v>
      </c>
      <c r="D67" s="77" t="s">
        <v>544</v>
      </c>
      <c r="E67" s="77" t="s">
        <v>242</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267</v>
      </c>
      <c r="S67" s="8" t="s">
        <v>30</v>
      </c>
      <c r="T67" s="8" t="s">
        <v>341</v>
      </c>
      <c r="U67" s="7" t="s">
        <v>651</v>
      </c>
      <c r="W67">
        <v>5</v>
      </c>
      <c r="X67" t="s">
        <v>1966</v>
      </c>
      <c r="Y67">
        <f t="shared" si="0"/>
        <v>193</v>
      </c>
      <c r="Z67" t="str">
        <f t="shared" si="1"/>
        <v>C41-5</v>
      </c>
      <c r="AB67">
        <v>221</v>
      </c>
      <c r="AC67" t="s">
        <v>2159</v>
      </c>
    </row>
    <row r="68" spans="1:29">
      <c r="A68" s="77" t="s">
        <v>254</v>
      </c>
      <c r="B68" s="77" t="str">
        <f>Texte!$B$216</f>
        <v>Betondecke 22cm mit innerer Wärmedämmung PUR, Unterlagsboden (BTK)</v>
      </c>
      <c r="C68" s="77" t="s">
        <v>541</v>
      </c>
      <c r="D68" s="77" t="s">
        <v>542</v>
      </c>
      <c r="E68" s="77" t="s">
        <v>242</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267</v>
      </c>
      <c r="S68" s="8" t="s">
        <v>30</v>
      </c>
      <c r="T68" s="8" t="s">
        <v>341</v>
      </c>
      <c r="U68" s="7" t="s">
        <v>651</v>
      </c>
      <c r="W68">
        <v>6</v>
      </c>
      <c r="X68" t="s">
        <v>1967</v>
      </c>
      <c r="Y68">
        <f t="shared" si="0"/>
        <v>194</v>
      </c>
      <c r="Z68" t="str">
        <f t="shared" si="1"/>
        <v>C41-6</v>
      </c>
      <c r="AB68">
        <v>222</v>
      </c>
      <c r="AC68" t="s">
        <v>2160</v>
      </c>
    </row>
    <row r="69" spans="1:29">
      <c r="A69" s="77" t="s">
        <v>254</v>
      </c>
      <c r="B69" s="77" t="str">
        <f>Texte!$B$217</f>
        <v>Betondecke 22cm mit Trittschalldämmung und Unterlagsboden (BTK)</v>
      </c>
      <c r="C69" s="77" t="s">
        <v>546</v>
      </c>
      <c r="D69" s="77" t="s">
        <v>545</v>
      </c>
      <c r="E69" s="77" t="s">
        <v>242</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267</v>
      </c>
      <c r="S69" s="8" t="s">
        <v>30</v>
      </c>
      <c r="T69" s="8" t="s">
        <v>341</v>
      </c>
      <c r="U69" s="7" t="s">
        <v>651</v>
      </c>
      <c r="W69">
        <v>7</v>
      </c>
      <c r="X69" t="s">
        <v>1968</v>
      </c>
      <c r="Y69">
        <f t="shared" si="0"/>
        <v>195</v>
      </c>
      <c r="Z69" t="str">
        <f t="shared" si="1"/>
        <v>C41-7</v>
      </c>
      <c r="AB69">
        <v>223</v>
      </c>
      <c r="AC69" t="s">
        <v>2161</v>
      </c>
    </row>
    <row r="70" spans="1:29">
      <c r="A70" s="77" t="s">
        <v>254</v>
      </c>
      <c r="B70" s="77" t="str">
        <f>Texte!$B$218</f>
        <v>Betondecke 22cm mit verputzter Aussenwärmedämmung (BTK)</v>
      </c>
      <c r="C70" s="77" t="s">
        <v>539</v>
      </c>
      <c r="D70" s="77" t="s">
        <v>540</v>
      </c>
      <c r="E70" s="77" t="s">
        <v>242</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267</v>
      </c>
      <c r="S70" s="8" t="s">
        <v>30</v>
      </c>
      <c r="T70" s="8" t="s">
        <v>341</v>
      </c>
      <c r="U70" s="7" t="s">
        <v>651</v>
      </c>
      <c r="W70">
        <v>8</v>
      </c>
      <c r="X70" t="s">
        <v>1969</v>
      </c>
      <c r="Y70">
        <f t="shared" si="0"/>
        <v>196</v>
      </c>
      <c r="Z70" t="str">
        <f t="shared" si="1"/>
        <v>C41-8</v>
      </c>
      <c r="AB70">
        <v>224</v>
      </c>
      <c r="AC70" t="s">
        <v>2163</v>
      </c>
    </row>
    <row r="71" spans="1:29">
      <c r="A71" s="75" t="s">
        <v>254</v>
      </c>
      <c r="B71" s="77" t="str">
        <f>Texte!$B$306</f>
        <v>Betondecke 25 cm mit Innenputz (SIA 2032)</v>
      </c>
      <c r="C71" s="75"/>
      <c r="D71" s="75"/>
      <c r="E71" s="75" t="s">
        <v>242</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267</v>
      </c>
      <c r="S71" s="8" t="s">
        <v>30</v>
      </c>
      <c r="T71" s="8" t="s">
        <v>341</v>
      </c>
      <c r="U71" s="7" t="s">
        <v>761</v>
      </c>
      <c r="W71">
        <v>9</v>
      </c>
      <c r="X71" t="s">
        <v>1970</v>
      </c>
      <c r="Y71">
        <f t="shared" si="0"/>
        <v>284</v>
      </c>
      <c r="Z71" t="str">
        <f t="shared" si="1"/>
        <v>C41-9</v>
      </c>
      <c r="AB71">
        <v>225</v>
      </c>
      <c r="AC71" t="s">
        <v>2165</v>
      </c>
    </row>
    <row r="72" spans="1:29">
      <c r="A72" s="77" t="s">
        <v>254</v>
      </c>
      <c r="B72" s="77" t="str">
        <f>Texte!$B$219</f>
        <v>Brettschichtholz-Massivdecke 16cm, Trittschalldämmung, Unterlagsboden (BTK)</v>
      </c>
      <c r="C72" s="77" t="s">
        <v>549</v>
      </c>
      <c r="D72" s="77" t="s">
        <v>550</v>
      </c>
      <c r="E72" s="77" t="s">
        <v>242</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267</v>
      </c>
      <c r="S72" s="8" t="s">
        <v>30</v>
      </c>
      <c r="T72" s="8" t="s">
        <v>341</v>
      </c>
      <c r="U72" s="7" t="s">
        <v>651</v>
      </c>
      <c r="W72">
        <v>10</v>
      </c>
      <c r="X72" t="s">
        <v>1971</v>
      </c>
      <c r="Y72">
        <f t="shared" si="0"/>
        <v>197</v>
      </c>
      <c r="Z72" t="str">
        <f t="shared" si="1"/>
        <v>C41-10</v>
      </c>
      <c r="AB72">
        <v>226</v>
      </c>
      <c r="AC72" t="s">
        <v>2166</v>
      </c>
    </row>
    <row r="73" spans="1:29">
      <c r="A73" s="77" t="s">
        <v>254</v>
      </c>
      <c r="B73" s="77" t="str">
        <f>Texte!$B$220</f>
        <v>Hohlkastendecke, Nassestrich mit heruntergeh. Decke (Lignum)</v>
      </c>
      <c r="C73" s="77" t="s">
        <v>511</v>
      </c>
      <c r="D73" s="77" t="s">
        <v>521</v>
      </c>
      <c r="E73" s="77" t="s">
        <v>242</v>
      </c>
      <c r="F73" s="77" t="s">
        <v>30</v>
      </c>
      <c r="G73" s="7">
        <v>60</v>
      </c>
      <c r="H73" s="43">
        <v>3.4722222222222223</v>
      </c>
      <c r="I73" s="43">
        <v>0</v>
      </c>
      <c r="J73" s="43">
        <v>0</v>
      </c>
      <c r="K73" s="47">
        <v>0.92500000000000004</v>
      </c>
      <c r="L73" s="47"/>
      <c r="M73" s="47"/>
      <c r="N73" s="50">
        <v>1330.7</v>
      </c>
      <c r="O73" s="50"/>
      <c r="P73" s="50"/>
      <c r="Q73" s="7" t="s">
        <v>19</v>
      </c>
      <c r="R73" s="7" t="s">
        <v>267</v>
      </c>
      <c r="S73" s="8" t="s">
        <v>30</v>
      </c>
      <c r="T73" s="8" t="s">
        <v>341</v>
      </c>
      <c r="U73" s="7" t="s">
        <v>652</v>
      </c>
      <c r="W73">
        <v>11</v>
      </c>
      <c r="X73" t="s">
        <v>1972</v>
      </c>
      <c r="Y73">
        <f t="shared" si="0"/>
        <v>198</v>
      </c>
      <c r="Z73" t="str">
        <f t="shared" si="1"/>
        <v>C41-11</v>
      </c>
      <c r="AB73">
        <v>227</v>
      </c>
      <c r="AC73" t="s">
        <v>2167</v>
      </c>
    </row>
    <row r="74" spans="1:29">
      <c r="A74" s="77" t="s">
        <v>254</v>
      </c>
      <c r="B74" s="77" t="str">
        <f>Texte!$B$221</f>
        <v>Hohlkastendecke, Nassestrich, ohne heruntergeh. Decke (Lignum)</v>
      </c>
      <c r="C74" s="77" t="s">
        <v>510</v>
      </c>
      <c r="D74" s="77" t="s">
        <v>520</v>
      </c>
      <c r="E74" s="77" t="s">
        <v>242</v>
      </c>
      <c r="F74" s="77" t="s">
        <v>30</v>
      </c>
      <c r="G74" s="7">
        <v>60</v>
      </c>
      <c r="H74" s="43">
        <v>2.8657407407407405</v>
      </c>
      <c r="I74" s="43">
        <v>0</v>
      </c>
      <c r="J74" s="43">
        <v>0</v>
      </c>
      <c r="K74" s="47">
        <v>0.57266666666666666</v>
      </c>
      <c r="L74" s="47"/>
      <c r="M74" s="47"/>
      <c r="N74" s="50">
        <v>1117.7</v>
      </c>
      <c r="O74" s="50"/>
      <c r="P74" s="50"/>
      <c r="Q74" s="7" t="s">
        <v>19</v>
      </c>
      <c r="R74" s="7" t="s">
        <v>267</v>
      </c>
      <c r="S74" s="8" t="s">
        <v>30</v>
      </c>
      <c r="T74" s="8" t="s">
        <v>341</v>
      </c>
      <c r="U74" s="7" t="s">
        <v>652</v>
      </c>
      <c r="W74">
        <v>12</v>
      </c>
      <c r="X74" t="s">
        <v>1973</v>
      </c>
      <c r="Y74">
        <f t="shared" ref="Y74:Y137" si="3">RIGHT(X74,3)*1</f>
        <v>199</v>
      </c>
      <c r="Z74" t="str">
        <f t="shared" ref="Z74:Z137" si="4">RIGHT(A74,LEN(A74)-SEARCH("_",A74,3))&amp;"-"&amp;W74</f>
        <v>C41-12</v>
      </c>
      <c r="AB74">
        <v>228</v>
      </c>
      <c r="AC74" t="s">
        <v>2170</v>
      </c>
    </row>
    <row r="75" spans="1:29">
      <c r="A75" s="77" t="s">
        <v>254</v>
      </c>
      <c r="B75" s="77" t="str">
        <f>Texte!$B$222</f>
        <v>Holzbalkendecke mit Zusatzdämmung 8cm Steinwolle, Verkleidung aussen, Spanplatte innen (BTK)</v>
      </c>
      <c r="C75" s="77" t="s">
        <v>551</v>
      </c>
      <c r="D75" s="77" t="s">
        <v>552</v>
      </c>
      <c r="E75" s="77" t="s">
        <v>242</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267</v>
      </c>
      <c r="S75" s="8" t="s">
        <v>30</v>
      </c>
      <c r="T75" s="8" t="s">
        <v>341</v>
      </c>
      <c r="U75" s="7" t="s">
        <v>651</v>
      </c>
      <c r="W75">
        <v>13</v>
      </c>
      <c r="X75" t="s">
        <v>1974</v>
      </c>
      <c r="Y75">
        <f t="shared" si="3"/>
        <v>200</v>
      </c>
      <c r="Z75" t="str">
        <f t="shared" si="4"/>
        <v>C41-13</v>
      </c>
      <c r="AB75">
        <v>229</v>
      </c>
      <c r="AC75" t="s">
        <v>2171</v>
      </c>
    </row>
    <row r="76" spans="1:29">
      <c r="A76" s="75" t="s">
        <v>254</v>
      </c>
      <c r="B76" s="77" t="str">
        <f>Texte!$B$308</f>
        <v>Holzbetonverbund (mit unterer Gipsbekleidung) (SIA 2032)</v>
      </c>
      <c r="C76" s="75"/>
      <c r="D76" s="75"/>
      <c r="E76" s="75" t="s">
        <v>242</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267</v>
      </c>
      <c r="S76" s="8" t="s">
        <v>30</v>
      </c>
      <c r="T76" s="8" t="s">
        <v>341</v>
      </c>
      <c r="U76" s="7" t="s">
        <v>761</v>
      </c>
      <c r="W76">
        <v>14</v>
      </c>
      <c r="X76" t="s">
        <v>1975</v>
      </c>
      <c r="Y76">
        <f t="shared" si="3"/>
        <v>286</v>
      </c>
      <c r="Z76" t="str">
        <f t="shared" si="4"/>
        <v>C41-14</v>
      </c>
      <c r="AB76">
        <v>230</v>
      </c>
      <c r="AC76" t="s">
        <v>2172</v>
      </c>
    </row>
    <row r="77" spans="1:29">
      <c r="A77" s="77" t="s">
        <v>254</v>
      </c>
      <c r="B77" s="77" t="str">
        <f>Texte!$B$223</f>
        <v>Holz-Beton-Verbunddecke, Nassestrich ohne heruntergeh. Decke (Lignum)</v>
      </c>
      <c r="C77" s="77" t="s">
        <v>515</v>
      </c>
      <c r="D77" s="77" t="s">
        <v>525</v>
      </c>
      <c r="E77" s="77" t="s">
        <v>242</v>
      </c>
      <c r="F77" s="77" t="s">
        <v>30</v>
      </c>
      <c r="G77" s="7">
        <v>60</v>
      </c>
      <c r="H77" s="43">
        <v>2.9027777777777777</v>
      </c>
      <c r="I77" s="43">
        <v>0</v>
      </c>
      <c r="J77" s="43">
        <v>0</v>
      </c>
      <c r="K77" s="47">
        <v>0.85249999999999992</v>
      </c>
      <c r="L77" s="47"/>
      <c r="M77" s="47"/>
      <c r="N77" s="50">
        <v>1554.8</v>
      </c>
      <c r="O77" s="50"/>
      <c r="P77" s="50"/>
      <c r="Q77" s="7" t="s">
        <v>19</v>
      </c>
      <c r="R77" s="7" t="s">
        <v>267</v>
      </c>
      <c r="S77" s="8" t="s">
        <v>30</v>
      </c>
      <c r="T77" s="8" t="s">
        <v>341</v>
      </c>
      <c r="U77" s="7" t="s">
        <v>652</v>
      </c>
      <c r="W77">
        <v>15</v>
      </c>
      <c r="X77" t="s">
        <v>1976</v>
      </c>
      <c r="Y77">
        <f t="shared" si="3"/>
        <v>201</v>
      </c>
      <c r="Z77" t="str">
        <f t="shared" si="4"/>
        <v>C41-15</v>
      </c>
      <c r="AB77">
        <v>231</v>
      </c>
      <c r="AC77" t="s">
        <v>2175</v>
      </c>
    </row>
    <row r="78" spans="1:29">
      <c r="A78" s="75" t="s">
        <v>254</v>
      </c>
      <c r="B78" s="77" t="str">
        <f>Texte!$B$307</f>
        <v>Holzelementdecke (mit unterer Gipsbekleidung) (SIA 2032)</v>
      </c>
      <c r="C78" s="75"/>
      <c r="D78" s="75"/>
      <c r="E78" s="75" t="s">
        <v>242</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267</v>
      </c>
      <c r="S78" s="8" t="s">
        <v>30</v>
      </c>
      <c r="T78" s="8" t="s">
        <v>341</v>
      </c>
      <c r="U78" s="7" t="s">
        <v>761</v>
      </c>
      <c r="W78">
        <v>16</v>
      </c>
      <c r="X78" t="s">
        <v>1977</v>
      </c>
      <c r="Y78">
        <f t="shared" si="3"/>
        <v>285</v>
      </c>
      <c r="Z78" t="str">
        <f t="shared" si="4"/>
        <v>C41-16</v>
      </c>
      <c r="AB78">
        <v>232</v>
      </c>
      <c r="AC78" t="s">
        <v>2176</v>
      </c>
    </row>
    <row r="79" spans="1:29">
      <c r="A79" s="77" t="s">
        <v>254</v>
      </c>
      <c r="B79" s="77" t="str">
        <f>Texte!$B$224</f>
        <v>Holzkastendecke gedämmt, Trittschalldämmung, Spanplatte (BTK)</v>
      </c>
      <c r="C79" s="77" t="s">
        <v>553</v>
      </c>
      <c r="D79" s="77" t="s">
        <v>554</v>
      </c>
      <c r="E79" s="77" t="s">
        <v>242</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267</v>
      </c>
      <c r="S79" s="8" t="s">
        <v>30</v>
      </c>
      <c r="T79" s="8" t="s">
        <v>341</v>
      </c>
      <c r="U79" s="7" t="s">
        <v>651</v>
      </c>
      <c r="W79">
        <v>17</v>
      </c>
      <c r="X79" t="s">
        <v>1978</v>
      </c>
      <c r="Y79">
        <f t="shared" si="3"/>
        <v>202</v>
      </c>
      <c r="Z79" t="str">
        <f t="shared" si="4"/>
        <v>C41-17</v>
      </c>
      <c r="AB79">
        <v>233</v>
      </c>
      <c r="AC79" t="s">
        <v>2177</v>
      </c>
    </row>
    <row r="80" spans="1:29">
      <c r="A80" s="77" t="s">
        <v>254</v>
      </c>
      <c r="B80" s="77" t="str">
        <f>Texte!$B$225</f>
        <v>Massivholzdecke, Nassestrich mit heruntergeh. Decke (Lignum)</v>
      </c>
      <c r="C80" s="77" t="s">
        <v>514</v>
      </c>
      <c r="D80" s="77" t="s">
        <v>524</v>
      </c>
      <c r="E80" s="77" t="s">
        <v>242</v>
      </c>
      <c r="F80" s="77" t="s">
        <v>30</v>
      </c>
      <c r="G80" s="7">
        <v>60</v>
      </c>
      <c r="H80" s="43">
        <v>5.2268518518518521</v>
      </c>
      <c r="I80" s="43">
        <v>0</v>
      </c>
      <c r="J80" s="43">
        <v>0</v>
      </c>
      <c r="K80" s="47">
        <v>1.2495000000000001</v>
      </c>
      <c r="L80" s="47"/>
      <c r="M80" s="47"/>
      <c r="N80" s="50">
        <v>2206.4833333333331</v>
      </c>
      <c r="O80" s="50"/>
      <c r="P80" s="50"/>
      <c r="Q80" s="7" t="s">
        <v>19</v>
      </c>
      <c r="R80" s="7" t="s">
        <v>267</v>
      </c>
      <c r="S80" s="8" t="s">
        <v>30</v>
      </c>
      <c r="T80" s="8" t="s">
        <v>341</v>
      </c>
      <c r="U80" s="7" t="s">
        <v>652</v>
      </c>
      <c r="W80">
        <v>18</v>
      </c>
      <c r="X80" t="s">
        <v>1979</v>
      </c>
      <c r="Y80">
        <f t="shared" si="3"/>
        <v>203</v>
      </c>
      <c r="Z80" t="str">
        <f t="shared" si="4"/>
        <v>C41-18</v>
      </c>
      <c r="AB80">
        <v>234</v>
      </c>
      <c r="AC80" t="s">
        <v>2178</v>
      </c>
    </row>
    <row r="81" spans="1:32">
      <c r="A81" s="77" t="s">
        <v>254</v>
      </c>
      <c r="B81" s="77" t="str">
        <f>Texte!$B$226</f>
        <v>Massivholzdecke, Nassestrich ohne heruntergeh. Decke (Lignum)</v>
      </c>
      <c r="C81" s="77" t="s">
        <v>512</v>
      </c>
      <c r="D81" s="77" t="s">
        <v>522</v>
      </c>
      <c r="E81" s="77" t="s">
        <v>242</v>
      </c>
      <c r="F81" s="77" t="s">
        <v>30</v>
      </c>
      <c r="G81" s="7">
        <v>60</v>
      </c>
      <c r="H81" s="43">
        <v>2.4953703703703702</v>
      </c>
      <c r="I81" s="43">
        <v>0</v>
      </c>
      <c r="J81" s="43">
        <v>0</v>
      </c>
      <c r="K81" s="47">
        <v>0.5116666666666666</v>
      </c>
      <c r="L81" s="47"/>
      <c r="M81" s="47"/>
      <c r="N81" s="50">
        <v>1336.6833333333334</v>
      </c>
      <c r="O81" s="50"/>
      <c r="P81" s="50"/>
      <c r="Q81" s="7" t="s">
        <v>19</v>
      </c>
      <c r="R81" s="7" t="s">
        <v>267</v>
      </c>
      <c r="S81" s="8" t="s">
        <v>30</v>
      </c>
      <c r="T81" s="8" t="s">
        <v>341</v>
      </c>
      <c r="U81" s="7" t="s">
        <v>652</v>
      </c>
      <c r="W81">
        <v>19</v>
      </c>
      <c r="X81" t="s">
        <v>1980</v>
      </c>
      <c r="Y81">
        <f t="shared" si="3"/>
        <v>204</v>
      </c>
      <c r="Z81" t="str">
        <f t="shared" si="4"/>
        <v>C41-19</v>
      </c>
      <c r="AB81">
        <v>235</v>
      </c>
      <c r="AC81" t="s">
        <v>2179</v>
      </c>
    </row>
    <row r="82" spans="1:32">
      <c r="A82" s="77" t="s">
        <v>254</v>
      </c>
      <c r="B82" s="77" t="str">
        <f>Texte!$B$227</f>
        <v>Massivholzdecke, Trockenestrich mit herunterge. Decke (Lignum)</v>
      </c>
      <c r="C82" s="77" t="s">
        <v>513</v>
      </c>
      <c r="D82" s="77" t="s">
        <v>523</v>
      </c>
      <c r="E82" s="77" t="s">
        <v>242</v>
      </c>
      <c r="F82" s="77" t="s">
        <v>30</v>
      </c>
      <c r="G82" s="7">
        <v>60</v>
      </c>
      <c r="H82" s="43">
        <v>6.2546296296296289</v>
      </c>
      <c r="I82" s="43">
        <v>0</v>
      </c>
      <c r="J82" s="43">
        <v>0</v>
      </c>
      <c r="K82" s="47">
        <v>1.294</v>
      </c>
      <c r="L82" s="47"/>
      <c r="M82" s="47"/>
      <c r="N82" s="50">
        <v>2153.4666666666667</v>
      </c>
      <c r="O82" s="50"/>
      <c r="P82" s="50"/>
      <c r="Q82" s="7" t="s">
        <v>19</v>
      </c>
      <c r="R82" s="7" t="s">
        <v>267</v>
      </c>
      <c r="S82" s="8" t="s">
        <v>30</v>
      </c>
      <c r="T82" s="8" t="s">
        <v>341</v>
      </c>
      <c r="U82" s="7" t="s">
        <v>652</v>
      </c>
      <c r="W82">
        <v>20</v>
      </c>
      <c r="X82" t="s">
        <v>1981</v>
      </c>
      <c r="Y82">
        <f t="shared" si="3"/>
        <v>205</v>
      </c>
      <c r="Z82" t="str">
        <f t="shared" si="4"/>
        <v>C41-20</v>
      </c>
      <c r="AB82">
        <v>236</v>
      </c>
      <c r="AC82" t="s">
        <v>2180</v>
      </c>
    </row>
    <row r="83" spans="1:32">
      <c r="A83" s="77" t="s">
        <v>254</v>
      </c>
      <c r="B83" s="77" t="str">
        <f>Texte!$B$228</f>
        <v>Trapezblechdecke mit Beton 18cm, Trittschalldämmung, Unterlagsboden (BTK)</v>
      </c>
      <c r="C83" s="77" t="s">
        <v>547</v>
      </c>
      <c r="D83" s="77" t="s">
        <v>548</v>
      </c>
      <c r="E83" s="77" t="s">
        <v>242</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267</v>
      </c>
      <c r="S83" s="8" t="s">
        <v>30</v>
      </c>
      <c r="T83" s="8" t="s">
        <v>341</v>
      </c>
      <c r="U83" s="7" t="s">
        <v>651</v>
      </c>
      <c r="W83">
        <v>21</v>
      </c>
      <c r="X83" t="s">
        <v>1982</v>
      </c>
      <c r="Y83">
        <f t="shared" si="3"/>
        <v>206</v>
      </c>
      <c r="Z83" t="str">
        <f t="shared" si="4"/>
        <v>C41-21</v>
      </c>
      <c r="AB83">
        <v>237</v>
      </c>
      <c r="AC83" t="s">
        <v>2181</v>
      </c>
    </row>
    <row r="84" spans="1:32">
      <c r="A84" s="75" t="s">
        <v>801</v>
      </c>
      <c r="B84" s="77" t="str">
        <f>Texte!$B$313</f>
        <v>Balkon inkl. Absturzsicherung (SIA 2032)</v>
      </c>
      <c r="C84" s="75"/>
      <c r="D84" s="75"/>
      <c r="E84" s="75" t="s">
        <v>242</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341</v>
      </c>
      <c r="U84" s="7" t="s">
        <v>761</v>
      </c>
      <c r="W84">
        <v>1</v>
      </c>
      <c r="X84" t="s">
        <v>1983</v>
      </c>
      <c r="Y84">
        <f t="shared" si="3"/>
        <v>291</v>
      </c>
      <c r="Z84" t="str">
        <f t="shared" si="4"/>
        <v>C43-1</v>
      </c>
      <c r="AB84">
        <v>238</v>
      </c>
      <c r="AC84" t="s">
        <v>2182</v>
      </c>
    </row>
    <row r="85" spans="1:32">
      <c r="A85" s="75" t="s">
        <v>255</v>
      </c>
      <c r="B85" s="77" t="str">
        <f>Texte!$B$299</f>
        <v>Betondecke 25 cm mit Innenputz, gedämmt (SIA 2032)</v>
      </c>
      <c r="C85" s="75"/>
      <c r="D85" s="75"/>
      <c r="E85" s="75" t="s">
        <v>242</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341</v>
      </c>
      <c r="U85" s="7" t="s">
        <v>761</v>
      </c>
      <c r="W85">
        <v>1</v>
      </c>
      <c r="X85" s="72" t="s">
        <v>1984</v>
      </c>
      <c r="Y85">
        <f t="shared" si="3"/>
        <v>277</v>
      </c>
      <c r="Z85" t="str">
        <f t="shared" si="4"/>
        <v>C44-1</v>
      </c>
      <c r="AA85" s="72"/>
      <c r="AB85">
        <v>239</v>
      </c>
      <c r="AC85" t="s">
        <v>2183</v>
      </c>
      <c r="AD85" s="72">
        <f>P85+P$147</f>
        <v>31306.396369426751</v>
      </c>
    </row>
    <row r="86" spans="1:32">
      <c r="A86" s="75" t="s">
        <v>255</v>
      </c>
      <c r="B86" s="77" t="str">
        <f>Texte!$B$300</f>
        <v>Betondecke 40 cm mit Innenputz, gedämmt (SIA 2032)</v>
      </c>
      <c r="C86" s="75"/>
      <c r="D86" s="75"/>
      <c r="E86" s="75" t="s">
        <v>242</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341</v>
      </c>
      <c r="U86" s="7" t="s">
        <v>761</v>
      </c>
      <c r="W86">
        <v>2</v>
      </c>
      <c r="X86" s="72" t="s">
        <v>1985</v>
      </c>
      <c r="Y86">
        <f t="shared" si="3"/>
        <v>278</v>
      </c>
      <c r="Z86" t="str">
        <f t="shared" si="4"/>
        <v>C44-2</v>
      </c>
      <c r="AA86" s="72"/>
      <c r="AB86">
        <v>240</v>
      </c>
      <c r="AC86" t="s">
        <v>2185</v>
      </c>
      <c r="AD86" s="72">
        <f>P86+P$147</f>
        <v>40332.651146496821</v>
      </c>
    </row>
    <row r="87" spans="1:32">
      <c r="A87" s="75" t="s">
        <v>255</v>
      </c>
      <c r="B87" s="77" t="str">
        <f>Texte!$B$282</f>
        <v>Dach unter Terrain gedämmt (SIA 2032)</v>
      </c>
      <c r="C87" s="75"/>
      <c r="D87" s="75"/>
      <c r="E87" s="75" t="s">
        <v>242</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341</v>
      </c>
      <c r="U87" s="7" t="s">
        <v>761</v>
      </c>
      <c r="W87">
        <v>3</v>
      </c>
      <c r="X87" t="s">
        <v>1986</v>
      </c>
      <c r="Y87">
        <f t="shared" si="3"/>
        <v>260</v>
      </c>
      <c r="Z87" t="str">
        <f t="shared" si="4"/>
        <v>C44-3</v>
      </c>
      <c r="AB87">
        <v>241</v>
      </c>
      <c r="AC87" t="s">
        <v>2188</v>
      </c>
    </row>
    <row r="88" spans="1:32">
      <c r="A88" s="75" t="s">
        <v>255</v>
      </c>
      <c r="B88" s="77" t="str">
        <f>Texte!$B$281</f>
        <v>Dach unter Terrain ungedämmt (SIA 2032)</v>
      </c>
      <c r="C88" s="75"/>
      <c r="D88" s="75"/>
      <c r="E88" s="75" t="s">
        <v>242</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341</v>
      </c>
      <c r="U88" s="7" t="s">
        <v>761</v>
      </c>
      <c r="W88">
        <v>4</v>
      </c>
      <c r="X88" t="s">
        <v>1987</v>
      </c>
      <c r="Y88">
        <f t="shared" si="3"/>
        <v>259</v>
      </c>
      <c r="Z88" t="str">
        <f t="shared" si="4"/>
        <v>C44-4</v>
      </c>
      <c r="AB88">
        <v>242</v>
      </c>
      <c r="AC88" t="s">
        <v>2189</v>
      </c>
    </row>
    <row r="89" spans="1:32">
      <c r="A89" s="77" t="s">
        <v>255</v>
      </c>
      <c r="B89" s="77" t="str">
        <f>Texte!$B$229</f>
        <v>Dachkonstruktion Holz massiv (Lignum)</v>
      </c>
      <c r="C89" s="77" t="s">
        <v>528</v>
      </c>
      <c r="D89" s="77" t="s">
        <v>531</v>
      </c>
      <c r="E89" s="77" t="s">
        <v>242</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341</v>
      </c>
      <c r="U89" s="7" t="s">
        <v>652</v>
      </c>
      <c r="W89">
        <v>5</v>
      </c>
      <c r="X89" t="s">
        <v>1988</v>
      </c>
      <c r="Y89">
        <f t="shared" si="3"/>
        <v>207</v>
      </c>
      <c r="Z89" t="str">
        <f t="shared" si="4"/>
        <v>C44-5</v>
      </c>
      <c r="AB89">
        <v>243</v>
      </c>
      <c r="AC89" t="s">
        <v>2190</v>
      </c>
    </row>
    <row r="90" spans="1:32">
      <c r="A90" s="77" t="s">
        <v>255</v>
      </c>
      <c r="B90" s="77" t="str">
        <f>Texte!$B$230</f>
        <v>Dachkonstruktion Holz, Balken/Sparren mit HWS-Platte beplankt (Lignum)</v>
      </c>
      <c r="C90" s="77" t="s">
        <v>527</v>
      </c>
      <c r="D90" s="77" t="s">
        <v>530</v>
      </c>
      <c r="E90" s="77" t="s">
        <v>242</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341</v>
      </c>
      <c r="U90" s="7" t="s">
        <v>652</v>
      </c>
      <c r="W90">
        <v>6</v>
      </c>
      <c r="X90" t="s">
        <v>1989</v>
      </c>
      <c r="Y90">
        <f t="shared" si="3"/>
        <v>208</v>
      </c>
      <c r="Z90" t="str">
        <f t="shared" si="4"/>
        <v>C44-6</v>
      </c>
      <c r="AB90">
        <v>244</v>
      </c>
      <c r="AC90" t="s">
        <v>2191</v>
      </c>
    </row>
    <row r="91" spans="1:32">
      <c r="A91" s="77" t="s">
        <v>255</v>
      </c>
      <c r="B91" s="77" t="str">
        <f>Texte!$B$231</f>
        <v>Dachkonstruktion Holz, Balken/Sparren sichtbar (Lignum)</v>
      </c>
      <c r="C91" s="77" t="s">
        <v>526</v>
      </c>
      <c r="D91" s="77" t="s">
        <v>529</v>
      </c>
      <c r="E91" s="77" t="s">
        <v>242</v>
      </c>
      <c r="F91" s="77" t="s">
        <v>30</v>
      </c>
      <c r="G91" s="7">
        <v>60</v>
      </c>
      <c r="H91" s="43">
        <v>3.3194444444444442</v>
      </c>
      <c r="I91" s="43">
        <v>0</v>
      </c>
      <c r="J91" s="43">
        <v>0</v>
      </c>
      <c r="K91" s="47">
        <v>0.7446666666666667</v>
      </c>
      <c r="L91" s="47"/>
      <c r="M91" s="47"/>
      <c r="N91" s="50">
        <v>999.65</v>
      </c>
      <c r="O91" s="50"/>
      <c r="P91" s="50"/>
      <c r="Q91" s="7" t="s">
        <v>20</v>
      </c>
      <c r="R91" s="7"/>
      <c r="S91" s="8" t="s">
        <v>30</v>
      </c>
      <c r="T91" s="8" t="s">
        <v>341</v>
      </c>
      <c r="U91" s="7" t="s">
        <v>652</v>
      </c>
      <c r="W91">
        <v>7</v>
      </c>
      <c r="X91" t="s">
        <v>1990</v>
      </c>
      <c r="Y91">
        <f t="shared" si="3"/>
        <v>209</v>
      </c>
      <c r="Z91" t="str">
        <f t="shared" si="4"/>
        <v>C44-7</v>
      </c>
      <c r="AB91">
        <v>245</v>
      </c>
      <c r="AC91" t="s">
        <v>2192</v>
      </c>
    </row>
    <row r="92" spans="1:32">
      <c r="A92" s="77" t="s">
        <v>255</v>
      </c>
      <c r="B92" s="77" t="str">
        <f>Texte!$B$232</f>
        <v>Flachdach, Betondecke 22cm, EPS-Dämmung, Bitumenbahn, begehbarer Belag (BTK)</v>
      </c>
      <c r="C92" s="77" t="s">
        <v>557</v>
      </c>
      <c r="D92" s="77" t="s">
        <v>558</v>
      </c>
      <c r="E92" s="77" t="s">
        <v>242</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341</v>
      </c>
      <c r="U92" s="7" t="s">
        <v>651</v>
      </c>
      <c r="W92">
        <v>8</v>
      </c>
      <c r="X92" t="s">
        <v>1991</v>
      </c>
      <c r="Y92">
        <f t="shared" si="3"/>
        <v>210</v>
      </c>
      <c r="Z92" t="str">
        <f t="shared" si="4"/>
        <v>C44-8</v>
      </c>
      <c r="AB92">
        <v>246</v>
      </c>
      <c r="AC92" t="s">
        <v>2193</v>
      </c>
    </row>
    <row r="93" spans="1:32">
      <c r="A93" s="77" t="s">
        <v>255</v>
      </c>
      <c r="B93" s="77" t="str">
        <f>Texte!$B$233</f>
        <v>Flachdach, Betondecke 22cm, EPS-Dämmung, Bitumenbahn, Kies (BTK)</v>
      </c>
      <c r="C93" s="77" t="s">
        <v>555</v>
      </c>
      <c r="D93" s="77" t="s">
        <v>556</v>
      </c>
      <c r="E93" s="77" t="s">
        <v>242</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341</v>
      </c>
      <c r="U93" s="7" t="s">
        <v>651</v>
      </c>
      <c r="W93">
        <v>9</v>
      </c>
      <c r="X93" t="s">
        <v>1992</v>
      </c>
      <c r="Y93">
        <f t="shared" si="3"/>
        <v>211</v>
      </c>
      <c r="Z93" t="str">
        <f t="shared" si="4"/>
        <v>C44-9</v>
      </c>
      <c r="AB93">
        <v>247</v>
      </c>
      <c r="AC93" t="s">
        <v>2194</v>
      </c>
    </row>
    <row r="94" spans="1:32">
      <c r="A94" s="77" t="s">
        <v>255</v>
      </c>
      <c r="B94" s="77" t="str">
        <f>Texte!$B$234</f>
        <v>Flachdach, Holzelementdach ausgedämmt, Bitumenbahn, Kies (BTK)</v>
      </c>
      <c r="C94" s="77" t="s">
        <v>563</v>
      </c>
      <c r="D94" s="77" t="s">
        <v>564</v>
      </c>
      <c r="E94" s="77" t="s">
        <v>242</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341</v>
      </c>
      <c r="U94" s="7" t="s">
        <v>651</v>
      </c>
      <c r="W94">
        <v>10</v>
      </c>
      <c r="X94" t="s">
        <v>1993</v>
      </c>
      <c r="Y94">
        <f t="shared" si="3"/>
        <v>212</v>
      </c>
      <c r="Z94" t="str">
        <f t="shared" si="4"/>
        <v>C44-10</v>
      </c>
      <c r="AB94">
        <v>248</v>
      </c>
      <c r="AC94" s="72" t="s">
        <v>2057</v>
      </c>
    </row>
    <row r="95" spans="1:32">
      <c r="A95" s="77" t="s">
        <v>255</v>
      </c>
      <c r="B95" s="77" t="str">
        <f>Texte!$B$235</f>
        <v>Flachdach, Trapezblech, Dämmung EPS, begehbar (BTK)</v>
      </c>
      <c r="C95" s="77" t="s">
        <v>559</v>
      </c>
      <c r="D95" s="77" t="s">
        <v>560</v>
      </c>
      <c r="E95" s="77" t="s">
        <v>242</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341</v>
      </c>
      <c r="U95" s="7" t="s">
        <v>651</v>
      </c>
      <c r="W95">
        <v>11</v>
      </c>
      <c r="X95" t="s">
        <v>1994</v>
      </c>
      <c r="Y95">
        <f t="shared" si="3"/>
        <v>213</v>
      </c>
      <c r="Z95" t="str">
        <f t="shared" si="4"/>
        <v>C44-11</v>
      </c>
      <c r="AB95">
        <v>249</v>
      </c>
      <c r="AC95" t="s">
        <v>2059</v>
      </c>
    </row>
    <row r="96" spans="1:32">
      <c r="A96" s="75" t="s">
        <v>255</v>
      </c>
      <c r="B96" s="77" t="str">
        <f>Texte!$B$302</f>
        <v>Holzdecke mit unterer Gipsbekleidung, gedämmt (SIA 2032)</v>
      </c>
      <c r="C96" s="75"/>
      <c r="D96" s="75"/>
      <c r="E96" s="75" t="s">
        <v>242</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341</v>
      </c>
      <c r="U96" s="7" t="s">
        <v>761</v>
      </c>
      <c r="W96">
        <v>12</v>
      </c>
      <c r="X96" s="72" t="s">
        <v>1995</v>
      </c>
      <c r="Y96">
        <f t="shared" si="3"/>
        <v>280</v>
      </c>
      <c r="Z96" t="str">
        <f t="shared" si="4"/>
        <v>C44-12</v>
      </c>
      <c r="AA96" s="72"/>
      <c r="AB96">
        <v>250</v>
      </c>
      <c r="AC96" t="s">
        <v>2058</v>
      </c>
      <c r="AD96" s="72">
        <f>P96+P$147</f>
        <v>19179.880499999999</v>
      </c>
      <c r="AE96" s="72"/>
      <c r="AF96" s="72"/>
    </row>
    <row r="97" spans="1:30">
      <c r="A97" s="75" t="s">
        <v>255</v>
      </c>
      <c r="B97" s="77" t="str">
        <f>Texte!$B$303</f>
        <v>Holzkonstruktion geneigtes Dach, gedämmt (SIA 2032)</v>
      </c>
      <c r="C97" s="75"/>
      <c r="D97" s="75"/>
      <c r="E97" s="75" t="s">
        <v>242</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341</v>
      </c>
      <c r="U97" s="7" t="s">
        <v>761</v>
      </c>
      <c r="W97">
        <v>13</v>
      </c>
      <c r="X97" s="72" t="s">
        <v>1996</v>
      </c>
      <c r="Y97">
        <f t="shared" si="3"/>
        <v>281</v>
      </c>
      <c r="Z97" t="str">
        <f t="shared" si="4"/>
        <v>C44-13</v>
      </c>
      <c r="AA97" s="72"/>
      <c r="AB97">
        <v>251</v>
      </c>
      <c r="AC97" t="s">
        <v>2060</v>
      </c>
      <c r="AD97" s="72"/>
    </row>
    <row r="98" spans="1:30">
      <c r="A98" s="75" t="s">
        <v>255</v>
      </c>
      <c r="B98" s="77" t="str">
        <f>Texte!$B$327</f>
        <v>Holzkonstruktion geneigtes Dach, ungedämmt (SIA 2032)</v>
      </c>
      <c r="C98" s="75"/>
      <c r="D98" s="75"/>
      <c r="E98" s="75" t="s">
        <v>242</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341</v>
      </c>
      <c r="U98" s="7" t="s">
        <v>761</v>
      </c>
      <c r="W98">
        <v>14</v>
      </c>
      <c r="X98" s="72" t="s">
        <v>1997</v>
      </c>
      <c r="Y98">
        <f t="shared" si="3"/>
        <v>305</v>
      </c>
      <c r="Z98" t="str">
        <f t="shared" si="4"/>
        <v>C44-14</v>
      </c>
      <c r="AA98" s="72"/>
      <c r="AB98">
        <v>252</v>
      </c>
      <c r="AC98" t="s">
        <v>2063</v>
      </c>
      <c r="AD98" s="72"/>
    </row>
    <row r="99" spans="1:30">
      <c r="A99" s="75" t="s">
        <v>255</v>
      </c>
      <c r="B99" s="77" t="str">
        <f>Texte!$B$301</f>
        <v>Profilblech Verbunddecke, gedämmt (SIA 2032)</v>
      </c>
      <c r="C99" s="75"/>
      <c r="D99" s="75"/>
      <c r="E99" s="75" t="s">
        <v>242</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341</v>
      </c>
      <c r="U99" s="7" t="s">
        <v>761</v>
      </c>
      <c r="W99">
        <v>15</v>
      </c>
      <c r="X99" s="72" t="s">
        <v>1998</v>
      </c>
      <c r="Y99">
        <f t="shared" si="3"/>
        <v>279</v>
      </c>
      <c r="Z99" t="str">
        <f t="shared" si="4"/>
        <v>C44-15</v>
      </c>
      <c r="AA99" s="72"/>
      <c r="AB99">
        <v>253</v>
      </c>
      <c r="AC99" t="s">
        <v>2064</v>
      </c>
      <c r="AD99" s="72">
        <f>P99+P$147</f>
        <v>21505.384713375795</v>
      </c>
    </row>
    <row r="100" spans="1:30">
      <c r="A100" s="77" t="s">
        <v>255</v>
      </c>
      <c r="B100" s="77" t="str">
        <f>Texte!$B$236</f>
        <v>Schrägdach, Holzelementdach ausgedämmt (BTK)</v>
      </c>
      <c r="C100" s="77" t="s">
        <v>566</v>
      </c>
      <c r="D100" s="77" t="s">
        <v>565</v>
      </c>
      <c r="E100" s="77" t="s">
        <v>242</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341</v>
      </c>
      <c r="U100" s="7" t="s">
        <v>651</v>
      </c>
      <c r="W100">
        <v>16</v>
      </c>
      <c r="X100" t="s">
        <v>1999</v>
      </c>
      <c r="Y100">
        <f t="shared" si="3"/>
        <v>214</v>
      </c>
      <c r="Z100" t="str">
        <f t="shared" si="4"/>
        <v>C44-16</v>
      </c>
      <c r="AB100">
        <v>254</v>
      </c>
      <c r="AC100" t="s">
        <v>2065</v>
      </c>
    </row>
    <row r="101" spans="1:30">
      <c r="A101" s="77" t="s">
        <v>255</v>
      </c>
      <c r="B101" s="77" t="str">
        <f>Texte!$B$237</f>
        <v>Schrägdach, Sparrenlage mit Dämmung und Zusatzdämmung (BTK)</v>
      </c>
      <c r="C101" s="77" t="s">
        <v>561</v>
      </c>
      <c r="D101" s="77" t="s">
        <v>562</v>
      </c>
      <c r="E101" s="77" t="s">
        <v>242</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341</v>
      </c>
      <c r="U101" s="7" t="s">
        <v>651</v>
      </c>
      <c r="W101">
        <v>17</v>
      </c>
      <c r="X101" t="s">
        <v>2000</v>
      </c>
      <c r="Y101">
        <f t="shared" si="3"/>
        <v>215</v>
      </c>
      <c r="Z101" t="str">
        <f t="shared" si="4"/>
        <v>C44-17</v>
      </c>
      <c r="AB101">
        <v>255</v>
      </c>
      <c r="AC101" t="s">
        <v>2067</v>
      </c>
    </row>
    <row r="102" spans="1:30">
      <c r="A102" s="75" t="s">
        <v>256</v>
      </c>
      <c r="B102" s="77" t="str">
        <f>Texte!$B$322</f>
        <v>Abluftanlage Küche und Bad (SIA 2032)</v>
      </c>
      <c r="C102" s="75"/>
      <c r="D102" s="75"/>
      <c r="E102" s="75" t="s">
        <v>246</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268</v>
      </c>
      <c r="S102" s="8" t="s">
        <v>30</v>
      </c>
      <c r="T102" s="8" t="s">
        <v>2348</v>
      </c>
      <c r="U102" s="7" t="s">
        <v>761</v>
      </c>
      <c r="W102">
        <v>1</v>
      </c>
      <c r="X102" t="s">
        <v>2001</v>
      </c>
      <c r="Y102">
        <f t="shared" si="3"/>
        <v>300</v>
      </c>
      <c r="Z102" t="str">
        <f t="shared" si="4"/>
        <v>D-1</v>
      </c>
      <c r="AB102">
        <v>256</v>
      </c>
      <c r="AC102" t="s">
        <v>2066</v>
      </c>
    </row>
    <row r="103" spans="1:30">
      <c r="A103" s="77" t="s">
        <v>256</v>
      </c>
      <c r="B103" s="77" t="str">
        <f>Texte!$B$238</f>
        <v>Abluftanlage Wohnen, Küche und Bad (KBOB)</v>
      </c>
      <c r="C103" s="77" t="s">
        <v>678</v>
      </c>
      <c r="D103" s="78" t="s">
        <v>659</v>
      </c>
      <c r="E103" s="77" t="s">
        <v>246</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268</v>
      </c>
      <c r="S103" s="8" t="s">
        <v>30</v>
      </c>
      <c r="T103" s="8" t="s">
        <v>2348</v>
      </c>
      <c r="U103" s="7" t="s">
        <v>657</v>
      </c>
      <c r="W103">
        <v>2</v>
      </c>
      <c r="X103" t="s">
        <v>2002</v>
      </c>
      <c r="Y103">
        <f t="shared" si="3"/>
        <v>216</v>
      </c>
      <c r="Z103" t="str">
        <f t="shared" si="4"/>
        <v>D-2</v>
      </c>
      <c r="AB103">
        <v>257</v>
      </c>
      <c r="AC103" t="s">
        <v>2072</v>
      </c>
    </row>
    <row r="104" spans="1:30">
      <c r="A104" s="75" t="s">
        <v>256</v>
      </c>
      <c r="B104" s="77" t="str">
        <f>Texte!$B$315</f>
        <v>Elektroanlage Büro (SIA 2032)</v>
      </c>
      <c r="C104" s="75"/>
      <c r="D104" s="75"/>
      <c r="E104" s="75" t="s">
        <v>246</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268</v>
      </c>
      <c r="S104" s="8" t="s">
        <v>30</v>
      </c>
      <c r="T104" s="8" t="s">
        <v>2349</v>
      </c>
      <c r="U104" s="7" t="s">
        <v>761</v>
      </c>
      <c r="W104">
        <v>3</v>
      </c>
      <c r="X104" t="s">
        <v>2003</v>
      </c>
      <c r="Y104">
        <f t="shared" si="3"/>
        <v>293</v>
      </c>
      <c r="Z104" t="str">
        <f t="shared" si="4"/>
        <v>D-3</v>
      </c>
      <c r="AB104">
        <v>258</v>
      </c>
      <c r="AC104" t="s">
        <v>2071</v>
      </c>
    </row>
    <row r="105" spans="1:30">
      <c r="A105" s="75" t="s">
        <v>256</v>
      </c>
      <c r="B105" s="77" t="str">
        <f>Texte!$B$314</f>
        <v>Elektroanlage Wohnen (SIA 2032)</v>
      </c>
      <c r="C105" s="75"/>
      <c r="D105" s="75"/>
      <c r="E105" s="75" t="s">
        <v>246</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268</v>
      </c>
      <c r="S105" s="8" t="s">
        <v>30</v>
      </c>
      <c r="T105" s="8" t="s">
        <v>2349</v>
      </c>
      <c r="U105" s="7" t="s">
        <v>761</v>
      </c>
      <c r="W105">
        <v>4</v>
      </c>
      <c r="X105" t="s">
        <v>2004</v>
      </c>
      <c r="Y105">
        <f t="shared" si="3"/>
        <v>292</v>
      </c>
      <c r="Z105" t="str">
        <f t="shared" si="4"/>
        <v>D-4</v>
      </c>
      <c r="AB105">
        <v>259</v>
      </c>
      <c r="AC105" t="s">
        <v>2136</v>
      </c>
    </row>
    <row r="106" spans="1:30">
      <c r="A106" s="77" t="s">
        <v>256</v>
      </c>
      <c r="B106" s="77" t="str">
        <f>Texte!$B$239</f>
        <v>Elektroanlagen Büro (KBOB)</v>
      </c>
      <c r="C106" s="79" t="s">
        <v>683</v>
      </c>
      <c r="D106" s="78" t="s">
        <v>659</v>
      </c>
      <c r="E106" s="77" t="s">
        <v>246</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268</v>
      </c>
      <c r="S106" s="8" t="s">
        <v>30</v>
      </c>
      <c r="T106" s="8" t="s">
        <v>2349</v>
      </c>
      <c r="U106" s="7" t="s">
        <v>657</v>
      </c>
      <c r="W106">
        <v>5</v>
      </c>
      <c r="X106" t="s">
        <v>2005</v>
      </c>
      <c r="Y106">
        <f t="shared" si="3"/>
        <v>217</v>
      </c>
      <c r="Z106" t="str">
        <f t="shared" si="4"/>
        <v>D-5</v>
      </c>
      <c r="AB106">
        <v>260</v>
      </c>
      <c r="AC106" t="s">
        <v>2135</v>
      </c>
    </row>
    <row r="107" spans="1:30">
      <c r="A107" s="77" t="s">
        <v>256</v>
      </c>
      <c r="B107" s="77" t="str">
        <f>Texte!$B$240</f>
        <v>Elektroanlagen Wohnen (KBOB)</v>
      </c>
      <c r="C107" s="79" t="s">
        <v>682</v>
      </c>
      <c r="D107" s="78" t="s">
        <v>659</v>
      </c>
      <c r="E107" s="77" t="s">
        <v>246</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268</v>
      </c>
      <c r="S107" s="8" t="s">
        <v>30</v>
      </c>
      <c r="T107" s="8" t="s">
        <v>2349</v>
      </c>
      <c r="U107" s="7" t="s">
        <v>657</v>
      </c>
      <c r="W107">
        <v>6</v>
      </c>
      <c r="X107" t="s">
        <v>2006</v>
      </c>
      <c r="Y107">
        <f t="shared" si="3"/>
        <v>218</v>
      </c>
      <c r="Z107" t="str">
        <f t="shared" si="4"/>
        <v>D-6</v>
      </c>
      <c r="AB107">
        <v>261</v>
      </c>
      <c r="AC107" s="72" t="s">
        <v>2083</v>
      </c>
    </row>
    <row r="108" spans="1:30">
      <c r="A108" s="77" t="s">
        <v>256</v>
      </c>
      <c r="B108" s="77" t="str">
        <f>Texte!$B$241</f>
        <v>Erdsonden, für Sole-Wasser-Wärmepumpe (KBOB)</v>
      </c>
      <c r="C108" s="77" t="s">
        <v>669</v>
      </c>
      <c r="D108" s="78" t="s">
        <v>659</v>
      </c>
      <c r="E108" s="77" t="s">
        <v>655</v>
      </c>
      <c r="F108" s="77" t="s">
        <v>180</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1732</v>
      </c>
      <c r="S108" s="8" t="s">
        <v>180</v>
      </c>
      <c r="T108" s="8" t="s">
        <v>2351</v>
      </c>
      <c r="U108" s="7" t="s">
        <v>657</v>
      </c>
      <c r="W108">
        <v>7</v>
      </c>
      <c r="X108" t="s">
        <v>2007</v>
      </c>
      <c r="Y108">
        <f t="shared" si="3"/>
        <v>219</v>
      </c>
      <c r="Z108" t="str">
        <f t="shared" si="4"/>
        <v>D-7</v>
      </c>
      <c r="AB108">
        <v>262</v>
      </c>
      <c r="AC108" s="72" t="s">
        <v>2084</v>
      </c>
    </row>
    <row r="109" spans="1:30">
      <c r="A109" s="75" t="s">
        <v>256</v>
      </c>
      <c r="B109" s="77" t="str">
        <f>Texte!$B$320</f>
        <v>Erdwärmesonden (SIA 2032)</v>
      </c>
      <c r="C109" s="75"/>
      <c r="D109" s="75"/>
      <c r="E109" s="75" t="s">
        <v>246</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268</v>
      </c>
      <c r="S109" s="8" t="s">
        <v>30</v>
      </c>
      <c r="T109" s="8" t="s">
        <v>2351</v>
      </c>
      <c r="U109" s="7" t="s">
        <v>761</v>
      </c>
      <c r="W109">
        <v>8</v>
      </c>
      <c r="X109" t="s">
        <v>2008</v>
      </c>
      <c r="Y109">
        <f t="shared" si="3"/>
        <v>298</v>
      </c>
      <c r="Z109" t="str">
        <f t="shared" si="4"/>
        <v>D-8</v>
      </c>
      <c r="AB109">
        <v>263</v>
      </c>
      <c r="AC109" s="72" t="s">
        <v>2085</v>
      </c>
    </row>
    <row r="110" spans="1:30">
      <c r="A110" s="77" t="s">
        <v>256</v>
      </c>
      <c r="B110" s="77" t="str">
        <f>Texte!$B$242</f>
        <v>Flachkollektor für Raumheizung und Warmwasser EFH (KBOB)</v>
      </c>
      <c r="C110" s="77" t="s">
        <v>671</v>
      </c>
      <c r="D110" s="78" t="s">
        <v>659</v>
      </c>
      <c r="E110" s="77" t="s">
        <v>656</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2352</v>
      </c>
      <c r="U110" s="7" t="s">
        <v>657</v>
      </c>
      <c r="W110">
        <v>9</v>
      </c>
      <c r="X110" t="s">
        <v>2009</v>
      </c>
      <c r="Y110">
        <f t="shared" si="3"/>
        <v>220</v>
      </c>
      <c r="Z110" t="str">
        <f t="shared" si="4"/>
        <v>D-9</v>
      </c>
      <c r="AB110">
        <v>264</v>
      </c>
      <c r="AC110" t="s">
        <v>2086</v>
      </c>
    </row>
    <row r="111" spans="1:30">
      <c r="A111" s="77" t="s">
        <v>256</v>
      </c>
      <c r="B111" s="77" t="str">
        <f>Texte!$B$243</f>
        <v>Flachkollektor für Warmwasser EFH (KBOB)</v>
      </c>
      <c r="C111" s="77" t="s">
        <v>670</v>
      </c>
      <c r="D111" s="78" t="s">
        <v>659</v>
      </c>
      <c r="E111" s="77" t="s">
        <v>656</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2352</v>
      </c>
      <c r="U111" s="7" t="s">
        <v>657</v>
      </c>
      <c r="W111">
        <v>10</v>
      </c>
      <c r="X111" t="s">
        <v>2010</v>
      </c>
      <c r="Y111">
        <f t="shared" si="3"/>
        <v>221</v>
      </c>
      <c r="Z111" t="str">
        <f t="shared" si="4"/>
        <v>D-10</v>
      </c>
      <c r="AB111">
        <v>265</v>
      </c>
      <c r="AC111" t="s">
        <v>2078</v>
      </c>
    </row>
    <row r="112" spans="1:30">
      <c r="A112" s="77" t="s">
        <v>256</v>
      </c>
      <c r="B112" s="77" t="str">
        <f>Texte!$B$244</f>
        <v>Flachkollektor für Warmwasser MFH (KBOB)</v>
      </c>
      <c r="C112" s="77" t="s">
        <v>672</v>
      </c>
      <c r="D112" s="78" t="s">
        <v>659</v>
      </c>
      <c r="E112" s="77" t="s">
        <v>656</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2352</v>
      </c>
      <c r="U112" s="7" t="s">
        <v>657</v>
      </c>
      <c r="W112">
        <v>11</v>
      </c>
      <c r="X112" t="s">
        <v>2011</v>
      </c>
      <c r="Y112">
        <f t="shared" si="3"/>
        <v>222</v>
      </c>
      <c r="Z112" t="str">
        <f t="shared" si="4"/>
        <v>D-11</v>
      </c>
      <c r="AB112">
        <v>266</v>
      </c>
      <c r="AC112" t="s">
        <v>2079</v>
      </c>
    </row>
    <row r="113" spans="1:29">
      <c r="A113" s="77" t="s">
        <v>256</v>
      </c>
      <c r="B113" s="77" t="str">
        <f>Texte!$B$245</f>
        <v>Lüftungsanlage Büro (4 m3/h*m2) (KBOB)</v>
      </c>
      <c r="C113" s="77" t="s">
        <v>673</v>
      </c>
      <c r="D113" s="78" t="s">
        <v>659</v>
      </c>
      <c r="E113" s="77" t="s">
        <v>246</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268</v>
      </c>
      <c r="S113" s="8" t="s">
        <v>30</v>
      </c>
      <c r="T113" s="8" t="s">
        <v>2348</v>
      </c>
      <c r="U113" s="7" t="s">
        <v>657</v>
      </c>
      <c r="W113">
        <v>12</v>
      </c>
      <c r="X113" t="s">
        <v>2012</v>
      </c>
      <c r="Y113">
        <f t="shared" si="3"/>
        <v>223</v>
      </c>
      <c r="Z113" t="str">
        <f t="shared" si="4"/>
        <v>D-12</v>
      </c>
      <c r="AB113">
        <v>267</v>
      </c>
      <c r="AC113" t="s">
        <v>2080</v>
      </c>
    </row>
    <row r="114" spans="1:29">
      <c r="A114" s="75" t="s">
        <v>256</v>
      </c>
      <c r="B114" s="77" t="str">
        <f>Texte!$B$324</f>
        <v>Lüftungsanlage Büro (SIA 2032)</v>
      </c>
      <c r="C114" s="75"/>
      <c r="D114" s="75"/>
      <c r="E114" s="75" t="s">
        <v>246</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268</v>
      </c>
      <c r="S114" s="8" t="s">
        <v>30</v>
      </c>
      <c r="T114" s="8" t="s">
        <v>2348</v>
      </c>
      <c r="U114" s="7" t="s">
        <v>761</v>
      </c>
      <c r="W114">
        <v>13</v>
      </c>
      <c r="X114" t="s">
        <v>2013</v>
      </c>
      <c r="Y114">
        <f t="shared" si="3"/>
        <v>302</v>
      </c>
      <c r="Z114" t="str">
        <f t="shared" si="4"/>
        <v>D-13</v>
      </c>
      <c r="AB114">
        <v>268</v>
      </c>
      <c r="AC114" s="72" t="s">
        <v>2081</v>
      </c>
    </row>
    <row r="115" spans="1:29">
      <c r="A115" s="77" t="s">
        <v>256</v>
      </c>
      <c r="B115" s="77" t="str">
        <f>Texte!$B$246</f>
        <v>Lüftungsanlage Schule, Versammlung (8 m3/h*m2) (KBOB)</v>
      </c>
      <c r="C115" s="77" t="s">
        <v>675</v>
      </c>
      <c r="D115" s="78" t="s">
        <v>659</v>
      </c>
      <c r="E115" s="77" t="s">
        <v>246</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268</v>
      </c>
      <c r="S115" s="8" t="s">
        <v>30</v>
      </c>
      <c r="T115" s="8" t="s">
        <v>2348</v>
      </c>
      <c r="U115" s="7" t="s">
        <v>657</v>
      </c>
      <c r="W115">
        <v>14</v>
      </c>
      <c r="X115" t="s">
        <v>2014</v>
      </c>
      <c r="Y115">
        <f t="shared" si="3"/>
        <v>224</v>
      </c>
      <c r="Z115" t="str">
        <f t="shared" si="4"/>
        <v>D-14</v>
      </c>
      <c r="AB115">
        <v>269</v>
      </c>
      <c r="AC115" s="72" t="s">
        <v>2082</v>
      </c>
    </row>
    <row r="116" spans="1:29">
      <c r="A116" s="75" t="s">
        <v>256</v>
      </c>
      <c r="B116" s="77" t="str">
        <f>Texte!$B$323</f>
        <v>Lüftungsanlage Wohnen (SIA 2032)</v>
      </c>
      <c r="C116" s="75"/>
      <c r="D116" s="75"/>
      <c r="E116" s="75" t="s">
        <v>246</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268</v>
      </c>
      <c r="S116" s="8" t="s">
        <v>30</v>
      </c>
      <c r="T116" s="8" t="s">
        <v>2348</v>
      </c>
      <c r="U116" s="7" t="s">
        <v>761</v>
      </c>
      <c r="W116">
        <v>15</v>
      </c>
      <c r="X116" t="s">
        <v>2015</v>
      </c>
      <c r="Y116">
        <f t="shared" si="3"/>
        <v>301</v>
      </c>
      <c r="Z116" t="str">
        <f t="shared" si="4"/>
        <v>D-15</v>
      </c>
      <c r="AB116">
        <v>270</v>
      </c>
      <c r="AC116" t="s">
        <v>2089</v>
      </c>
    </row>
    <row r="117" spans="1:29">
      <c r="A117" s="77" t="s">
        <v>256</v>
      </c>
      <c r="B117" s="77" t="str">
        <f>Texte!$B$247</f>
        <v>Lüftungsanlage Wohnen, Blechkanäle, inkl. Küchenabluft (KBOB)</v>
      </c>
      <c r="C117" s="77" t="s">
        <v>676</v>
      </c>
      <c r="D117" s="78" t="s">
        <v>659</v>
      </c>
      <c r="E117" s="77" t="s">
        <v>246</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268</v>
      </c>
      <c r="S117" s="8" t="s">
        <v>30</v>
      </c>
      <c r="T117" s="8" t="s">
        <v>2348</v>
      </c>
      <c r="U117" s="7" t="s">
        <v>657</v>
      </c>
      <c r="W117">
        <v>16</v>
      </c>
      <c r="X117" t="s">
        <v>2016</v>
      </c>
      <c r="Y117">
        <f t="shared" si="3"/>
        <v>225</v>
      </c>
      <c r="Z117" t="str">
        <f t="shared" si="4"/>
        <v>D-16</v>
      </c>
      <c r="AB117">
        <v>271</v>
      </c>
      <c r="AC117" t="s">
        <v>2090</v>
      </c>
    </row>
    <row r="118" spans="1:29">
      <c r="A118" s="77" t="s">
        <v>256</v>
      </c>
      <c r="B118" s="77" t="str">
        <f>Texte!$B$248</f>
        <v>Lüftungsanlage Wohnen, PE-Kanäle, inkl. Küchenabluft (KBOB)</v>
      </c>
      <c r="C118" s="77" t="s">
        <v>677</v>
      </c>
      <c r="D118" s="78" t="s">
        <v>659</v>
      </c>
      <c r="E118" s="77" t="s">
        <v>246</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268</v>
      </c>
      <c r="S118" s="8" t="s">
        <v>30</v>
      </c>
      <c r="T118" s="8" t="s">
        <v>2348</v>
      </c>
      <c r="U118" s="7" t="s">
        <v>657</v>
      </c>
      <c r="W118">
        <v>17</v>
      </c>
      <c r="X118" t="s">
        <v>2017</v>
      </c>
      <c r="Y118">
        <f t="shared" si="3"/>
        <v>226</v>
      </c>
      <c r="Z118" t="str">
        <f t="shared" si="4"/>
        <v>D-17</v>
      </c>
      <c r="AB118">
        <v>272</v>
      </c>
      <c r="AC118" t="s">
        <v>2091</v>
      </c>
    </row>
    <row r="119" spans="1:29">
      <c r="A119" s="77" t="s">
        <v>256</v>
      </c>
      <c r="B119" s="77" t="str">
        <f>Texte!$B$249</f>
        <v>Lüftungsanlage, spez. Luftmenge 6 m3/hm2 EBF (KBOB)</v>
      </c>
      <c r="C119" s="77" t="s">
        <v>674</v>
      </c>
      <c r="D119" s="78" t="s">
        <v>659</v>
      </c>
      <c r="E119" s="77" t="s">
        <v>246</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268</v>
      </c>
      <c r="S119" s="8" t="s">
        <v>30</v>
      </c>
      <c r="T119" s="8" t="s">
        <v>2348</v>
      </c>
      <c r="U119" s="7" t="s">
        <v>657</v>
      </c>
      <c r="W119">
        <v>18</v>
      </c>
      <c r="X119" t="s">
        <v>2018</v>
      </c>
      <c r="Y119">
        <f t="shared" si="3"/>
        <v>227</v>
      </c>
      <c r="Z119" t="str">
        <f t="shared" si="4"/>
        <v>D-18</v>
      </c>
      <c r="AB119">
        <v>273</v>
      </c>
      <c r="AC119" t="s">
        <v>2087</v>
      </c>
    </row>
    <row r="120" spans="1:29">
      <c r="A120" s="75" t="s">
        <v>256</v>
      </c>
      <c r="B120" s="77" t="str">
        <f>Texte!$B$326</f>
        <v>Sanitäranlage Büro (SIA 2032)</v>
      </c>
      <c r="C120" s="75"/>
      <c r="D120" s="75"/>
      <c r="E120" s="75" t="s">
        <v>246</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268</v>
      </c>
      <c r="S120" s="8" t="s">
        <v>30</v>
      </c>
      <c r="T120" s="8" t="s">
        <v>2350</v>
      </c>
      <c r="U120" s="7" t="s">
        <v>761</v>
      </c>
      <c r="W120">
        <v>19</v>
      </c>
      <c r="X120" t="s">
        <v>2019</v>
      </c>
      <c r="Y120">
        <f t="shared" si="3"/>
        <v>304</v>
      </c>
      <c r="Z120" t="str">
        <f t="shared" si="4"/>
        <v>D-19</v>
      </c>
      <c r="AB120">
        <v>274</v>
      </c>
      <c r="AC120" t="s">
        <v>2088</v>
      </c>
    </row>
    <row r="121" spans="1:29">
      <c r="A121" s="75" t="s">
        <v>256</v>
      </c>
      <c r="B121" s="77" t="str">
        <f>Texte!$B$325</f>
        <v>Sanitäranlage Wohnen (SIA 2032)</v>
      </c>
      <c r="C121" s="75"/>
      <c r="D121" s="75"/>
      <c r="E121" s="75" t="s">
        <v>246</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268</v>
      </c>
      <c r="S121" s="8" t="s">
        <v>30</v>
      </c>
      <c r="T121" s="8" t="s">
        <v>2350</v>
      </c>
      <c r="U121" s="7" t="s">
        <v>761</v>
      </c>
      <c r="W121">
        <v>20</v>
      </c>
      <c r="X121" t="s">
        <v>2020</v>
      </c>
      <c r="Y121">
        <f t="shared" si="3"/>
        <v>303</v>
      </c>
      <c r="Z121" t="str">
        <f t="shared" si="4"/>
        <v>D-20</v>
      </c>
      <c r="AB121">
        <v>275</v>
      </c>
      <c r="AC121" t="s">
        <v>2092</v>
      </c>
    </row>
    <row r="122" spans="1:29">
      <c r="A122" s="77" t="s">
        <v>256</v>
      </c>
      <c r="B122" s="77" t="str">
        <f>Texte!$B$250</f>
        <v>Sanitäranlagen, Büro, aufwändig, inkl. Apparate und Leitungen (KBOB)</v>
      </c>
      <c r="C122" s="77" t="s">
        <v>680</v>
      </c>
      <c r="D122" s="78" t="s">
        <v>659</v>
      </c>
      <c r="E122" s="77" t="s">
        <v>246</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268</v>
      </c>
      <c r="S122" s="8" t="s">
        <v>30</v>
      </c>
      <c r="T122" s="8" t="s">
        <v>2350</v>
      </c>
      <c r="U122" s="7" t="s">
        <v>657</v>
      </c>
      <c r="W122">
        <v>21</v>
      </c>
      <c r="X122" t="s">
        <v>2021</v>
      </c>
      <c r="Y122">
        <f t="shared" si="3"/>
        <v>228</v>
      </c>
      <c r="Z122" t="str">
        <f t="shared" si="4"/>
        <v>D-21</v>
      </c>
      <c r="AB122">
        <v>276</v>
      </c>
      <c r="AC122" t="s">
        <v>2195</v>
      </c>
    </row>
    <row r="123" spans="1:29">
      <c r="A123" s="77" t="s">
        <v>256</v>
      </c>
      <c r="B123" s="77" t="str">
        <f>Texte!$B$251</f>
        <v>Sanitäranlagen, Büro, einfach, inkl. Apparate und Leitungen (KBOB)</v>
      </c>
      <c r="C123" s="77" t="s">
        <v>679</v>
      </c>
      <c r="D123" s="78" t="s">
        <v>659</v>
      </c>
      <c r="E123" s="77" t="s">
        <v>246</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268</v>
      </c>
      <c r="S123" s="8" t="s">
        <v>30</v>
      </c>
      <c r="T123" s="8" t="s">
        <v>2350</v>
      </c>
      <c r="U123" s="7" t="s">
        <v>657</v>
      </c>
      <c r="W123">
        <v>22</v>
      </c>
      <c r="X123" t="s">
        <v>2022</v>
      </c>
      <c r="Y123">
        <f t="shared" si="3"/>
        <v>229</v>
      </c>
      <c r="Z123" t="str">
        <f t="shared" si="4"/>
        <v>D-22</v>
      </c>
      <c r="AB123">
        <v>277</v>
      </c>
      <c r="AC123" t="s">
        <v>2133</v>
      </c>
    </row>
    <row r="124" spans="1:29">
      <c r="A124" s="77" t="s">
        <v>256</v>
      </c>
      <c r="B124" s="77" t="str">
        <f>Texte!$B$252</f>
        <v>Sanitäranlagen, Wohnen, inkl. Apparate und Leitungen (KBOB)</v>
      </c>
      <c r="C124" s="77" t="s">
        <v>681</v>
      </c>
      <c r="D124" s="78" t="s">
        <v>659</v>
      </c>
      <c r="E124" s="77" t="s">
        <v>246</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268</v>
      </c>
      <c r="S124" s="8" t="s">
        <v>30</v>
      </c>
      <c r="T124" s="8" t="s">
        <v>2350</v>
      </c>
      <c r="U124" s="7" t="s">
        <v>657</v>
      </c>
      <c r="W124">
        <v>23</v>
      </c>
      <c r="X124" t="s">
        <v>2023</v>
      </c>
      <c r="Y124">
        <f t="shared" si="3"/>
        <v>230</v>
      </c>
      <c r="Z124" t="str">
        <f t="shared" si="4"/>
        <v>D-23</v>
      </c>
      <c r="AB124">
        <v>278</v>
      </c>
      <c r="AC124" t="s">
        <v>2134</v>
      </c>
    </row>
    <row r="125" spans="1:29">
      <c r="A125" s="75" t="s">
        <v>256</v>
      </c>
      <c r="B125" s="77" t="str">
        <f>Texte!$B$321</f>
        <v>Solarkollektoren (SIA 2032)</v>
      </c>
      <c r="C125" s="75"/>
      <c r="D125" s="75"/>
      <c r="E125" s="75" t="s">
        <v>246</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2352</v>
      </c>
      <c r="U125" s="7" t="s">
        <v>761</v>
      </c>
      <c r="W125">
        <v>24</v>
      </c>
      <c r="X125" t="s">
        <v>2024</v>
      </c>
      <c r="Y125">
        <f t="shared" si="3"/>
        <v>299</v>
      </c>
      <c r="Z125" t="str">
        <f t="shared" si="4"/>
        <v>D-24</v>
      </c>
      <c r="AB125">
        <v>279</v>
      </c>
      <c r="AC125" t="s">
        <v>2147</v>
      </c>
    </row>
    <row r="126" spans="1:29">
      <c r="A126" s="75" t="s">
        <v>256</v>
      </c>
      <c r="B126" s="77" t="str">
        <f>Texte!$B$316</f>
        <v>Solarstromanlage (1 m2 = 0.14 kWp) (SIA 2032)</v>
      </c>
      <c r="C126" s="75"/>
      <c r="D126" s="75"/>
      <c r="E126" s="75" t="s">
        <v>246</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2353</v>
      </c>
      <c r="U126" s="7" t="s">
        <v>761</v>
      </c>
      <c r="W126">
        <v>25</v>
      </c>
      <c r="X126" t="s">
        <v>2025</v>
      </c>
      <c r="Y126">
        <f t="shared" si="3"/>
        <v>294</v>
      </c>
      <c r="Z126" t="str">
        <f t="shared" si="4"/>
        <v>D-25</v>
      </c>
      <c r="AB126">
        <v>280</v>
      </c>
      <c r="AC126" t="s">
        <v>2144</v>
      </c>
    </row>
    <row r="127" spans="1:29">
      <c r="A127" s="77" t="s">
        <v>256</v>
      </c>
      <c r="B127" s="77" t="str">
        <f>Texte!$B$253</f>
        <v>Solarstromanlage Fassade (KBOB)</v>
      </c>
      <c r="C127" s="79" t="s">
        <v>686</v>
      </c>
      <c r="D127" s="78" t="s">
        <v>659</v>
      </c>
      <c r="E127" s="77" t="s">
        <v>658</v>
      </c>
      <c r="F127" s="77" t="s">
        <v>247</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2353</v>
      </c>
      <c r="U127" s="7" t="s">
        <v>657</v>
      </c>
      <c r="W127">
        <v>26</v>
      </c>
      <c r="X127" t="s">
        <v>2026</v>
      </c>
      <c r="Y127">
        <f t="shared" si="3"/>
        <v>231</v>
      </c>
      <c r="Z127" t="str">
        <f t="shared" si="4"/>
        <v>D-26</v>
      </c>
      <c r="AB127">
        <v>281</v>
      </c>
      <c r="AC127" t="s">
        <v>2145</v>
      </c>
    </row>
    <row r="128" spans="1:29">
      <c r="A128" s="77" t="s">
        <v>256</v>
      </c>
      <c r="B128" s="77" t="str">
        <f>Texte!$B$254</f>
        <v>Solarstromanlage Flachdach (KBOB)</v>
      </c>
      <c r="C128" s="79" t="s">
        <v>685</v>
      </c>
      <c r="D128" s="78" t="s">
        <v>659</v>
      </c>
      <c r="E128" s="77" t="s">
        <v>658</v>
      </c>
      <c r="F128" s="77" t="s">
        <v>247</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2353</v>
      </c>
      <c r="U128" s="7" t="s">
        <v>657</v>
      </c>
      <c r="W128">
        <v>27</v>
      </c>
      <c r="X128" t="s">
        <v>2027</v>
      </c>
      <c r="Y128">
        <f t="shared" si="3"/>
        <v>232</v>
      </c>
      <c r="Z128" t="str">
        <f t="shared" si="4"/>
        <v>D-27</v>
      </c>
      <c r="AB128">
        <v>282</v>
      </c>
      <c r="AC128" t="s">
        <v>2104</v>
      </c>
    </row>
    <row r="129" spans="1:29">
      <c r="A129" s="77" t="s">
        <v>256</v>
      </c>
      <c r="B129" s="77" t="str">
        <f>Texte!$B$255</f>
        <v>Solarstromanlage Schrägdach (KBOB)</v>
      </c>
      <c r="C129" s="79" t="s">
        <v>684</v>
      </c>
      <c r="D129" s="78" t="s">
        <v>659</v>
      </c>
      <c r="E129" s="77" t="s">
        <v>658</v>
      </c>
      <c r="F129" s="77" t="s">
        <v>247</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2353</v>
      </c>
      <c r="U129" s="7" t="s">
        <v>657</v>
      </c>
      <c r="W129">
        <v>28</v>
      </c>
      <c r="X129" t="s">
        <v>2028</v>
      </c>
      <c r="Y129">
        <f t="shared" si="3"/>
        <v>233</v>
      </c>
      <c r="Z129" t="str">
        <f t="shared" si="4"/>
        <v>D-28</v>
      </c>
      <c r="AB129">
        <v>283</v>
      </c>
      <c r="AC129" t="s">
        <v>2103</v>
      </c>
    </row>
    <row r="130" spans="1:29">
      <c r="A130" s="77" t="s">
        <v>256</v>
      </c>
      <c r="B130" s="77" t="str">
        <f>Texte!$B$256</f>
        <v>Wärmeabgabe über Fussbodenheizung (KBOB)</v>
      </c>
      <c r="C130" s="77" t="s">
        <v>666</v>
      </c>
      <c r="D130" s="78" t="s">
        <v>659</v>
      </c>
      <c r="E130" s="77" t="s">
        <v>246</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268</v>
      </c>
      <c r="S130" s="8" t="s">
        <v>30</v>
      </c>
      <c r="T130" s="8" t="s">
        <v>2355</v>
      </c>
      <c r="U130" s="7" t="s">
        <v>657</v>
      </c>
      <c r="W130">
        <v>29</v>
      </c>
      <c r="X130" t="s">
        <v>2029</v>
      </c>
      <c r="Y130">
        <f t="shared" si="3"/>
        <v>234</v>
      </c>
      <c r="Z130" t="str">
        <f t="shared" si="4"/>
        <v>D-29</v>
      </c>
      <c r="AB130">
        <v>284</v>
      </c>
      <c r="AC130" t="s">
        <v>2119</v>
      </c>
    </row>
    <row r="131" spans="1:29">
      <c r="A131" s="77" t="s">
        <v>256</v>
      </c>
      <c r="B131" s="77" t="str">
        <f>Texte!$B$257</f>
        <v>Wärmeabgabe über Heizkörper (KBOB)</v>
      </c>
      <c r="C131" s="77" t="s">
        <v>665</v>
      </c>
      <c r="D131" s="78" t="s">
        <v>659</v>
      </c>
      <c r="E131" s="77" t="s">
        <v>246</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268</v>
      </c>
      <c r="S131" s="8" t="s">
        <v>30</v>
      </c>
      <c r="T131" s="8" t="s">
        <v>2355</v>
      </c>
      <c r="U131" s="7" t="s">
        <v>657</v>
      </c>
      <c r="W131">
        <v>30</v>
      </c>
      <c r="X131" t="s">
        <v>2030</v>
      </c>
      <c r="Y131">
        <f t="shared" si="3"/>
        <v>235</v>
      </c>
      <c r="Z131" t="str">
        <f t="shared" si="4"/>
        <v>D-30</v>
      </c>
      <c r="AB131">
        <v>285</v>
      </c>
      <c r="AC131" t="s">
        <v>2126</v>
      </c>
    </row>
    <row r="132" spans="1:29">
      <c r="A132" s="77" t="s">
        <v>256</v>
      </c>
      <c r="B132" s="77" t="str">
        <f>Texte!$B$258</f>
        <v>Wärmeabgabe über Heizkühldecke (ohne Gips- oder Metalldecke) (KBOB)</v>
      </c>
      <c r="C132" s="77" t="s">
        <v>667</v>
      </c>
      <c r="D132" s="78" t="s">
        <v>659</v>
      </c>
      <c r="E132" s="77" t="s">
        <v>246</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268</v>
      </c>
      <c r="S132" s="8" t="s">
        <v>30</v>
      </c>
      <c r="T132" s="8" t="s">
        <v>2355</v>
      </c>
      <c r="U132" s="7" t="s">
        <v>657</v>
      </c>
      <c r="W132">
        <v>31</v>
      </c>
      <c r="X132" t="s">
        <v>2031</v>
      </c>
      <c r="Y132">
        <f t="shared" si="3"/>
        <v>236</v>
      </c>
      <c r="Z132" t="str">
        <f t="shared" si="4"/>
        <v>D-31</v>
      </c>
      <c r="AB132">
        <v>286</v>
      </c>
      <c r="AC132" t="s">
        <v>2124</v>
      </c>
    </row>
    <row r="133" spans="1:29">
      <c r="A133" s="77" t="s">
        <v>256</v>
      </c>
      <c r="B133" s="77" t="str">
        <f>Texte!$B$259</f>
        <v>Wärmeerzeuger, spez. Leistungsbedarf 10 W/m2 (KBOB)</v>
      </c>
      <c r="C133" s="77" t="s">
        <v>660</v>
      </c>
      <c r="D133" s="78" t="s">
        <v>659</v>
      </c>
      <c r="E133" s="77" t="s">
        <v>246</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268</v>
      </c>
      <c r="S133" s="8" t="s">
        <v>30</v>
      </c>
      <c r="T133" s="8" t="s">
        <v>2356</v>
      </c>
      <c r="U133" s="7" t="s">
        <v>657</v>
      </c>
      <c r="W133">
        <v>32</v>
      </c>
      <c r="X133" t="s">
        <v>2032</v>
      </c>
      <c r="Y133">
        <f t="shared" si="3"/>
        <v>237</v>
      </c>
      <c r="Z133" t="str">
        <f t="shared" si="4"/>
        <v>D-32</v>
      </c>
      <c r="AB133">
        <v>287</v>
      </c>
      <c r="AC133" t="s">
        <v>2198</v>
      </c>
    </row>
    <row r="134" spans="1:29">
      <c r="A134" s="77" t="s">
        <v>256</v>
      </c>
      <c r="B134" s="77" t="str">
        <f>Texte!$B$260</f>
        <v>Wärmeerzeuger, spez. Leistungsbedarf 30 W/m2 (KBOB)</v>
      </c>
      <c r="C134" s="77" t="s">
        <v>661</v>
      </c>
      <c r="D134" s="78" t="s">
        <v>659</v>
      </c>
      <c r="E134" s="77" t="s">
        <v>246</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268</v>
      </c>
      <c r="S134" s="8" t="s">
        <v>30</v>
      </c>
      <c r="T134" s="8" t="s">
        <v>2356</v>
      </c>
      <c r="U134" s="7" t="s">
        <v>657</v>
      </c>
      <c r="W134">
        <v>33</v>
      </c>
      <c r="X134" t="s">
        <v>2033</v>
      </c>
      <c r="Y134">
        <f t="shared" si="3"/>
        <v>238</v>
      </c>
      <c r="Z134" t="str">
        <f t="shared" si="4"/>
        <v>D-33</v>
      </c>
      <c r="AB134">
        <v>288</v>
      </c>
      <c r="AC134" t="s">
        <v>2199</v>
      </c>
    </row>
    <row r="135" spans="1:29">
      <c r="A135" s="77" t="s">
        <v>256</v>
      </c>
      <c r="B135" s="77" t="str">
        <f>Texte!$B$261</f>
        <v>Wärmeerzeuger, spez. Leistungsbedarf 50 W/m2 (KBOB)</v>
      </c>
      <c r="C135" s="77" t="s">
        <v>662</v>
      </c>
      <c r="D135" s="78" t="s">
        <v>659</v>
      </c>
      <c r="E135" s="77" t="s">
        <v>246</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268</v>
      </c>
      <c r="S135" s="8" t="s">
        <v>30</v>
      </c>
      <c r="T135" s="8" t="s">
        <v>2356</v>
      </c>
      <c r="U135" s="7" t="s">
        <v>657</v>
      </c>
      <c r="W135">
        <v>34</v>
      </c>
      <c r="X135" t="s">
        <v>2034</v>
      </c>
      <c r="Y135">
        <f t="shared" si="3"/>
        <v>239</v>
      </c>
      <c r="Z135" t="str">
        <f t="shared" si="4"/>
        <v>D-34</v>
      </c>
      <c r="AB135">
        <v>289</v>
      </c>
      <c r="AC135" t="s">
        <v>2197</v>
      </c>
    </row>
    <row r="136" spans="1:29">
      <c r="A136" s="75" t="s">
        <v>256</v>
      </c>
      <c r="B136" s="77" t="str">
        <f>Texte!$B$317</f>
        <v>Wärmeerzeugung (SIA 2032)</v>
      </c>
      <c r="C136" s="75"/>
      <c r="D136" s="75"/>
      <c r="E136" s="75" t="s">
        <v>246</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268</v>
      </c>
      <c r="S136" s="8" t="s">
        <v>30</v>
      </c>
      <c r="T136" s="8" t="s">
        <v>2356</v>
      </c>
      <c r="U136" s="7" t="s">
        <v>761</v>
      </c>
      <c r="W136">
        <v>35</v>
      </c>
      <c r="X136" t="s">
        <v>2035</v>
      </c>
      <c r="Y136">
        <f t="shared" si="3"/>
        <v>295</v>
      </c>
      <c r="Z136" t="str">
        <f t="shared" si="4"/>
        <v>D-35</v>
      </c>
      <c r="AB136">
        <v>290</v>
      </c>
      <c r="AC136" t="s">
        <v>2196</v>
      </c>
    </row>
    <row r="137" spans="1:29">
      <c r="A137" s="77" t="s">
        <v>256</v>
      </c>
      <c r="B137" s="77" t="str">
        <f>Texte!$B$262</f>
        <v>Wärmeverteilung Bürogebäude (KBOB)</v>
      </c>
      <c r="C137" s="77" t="s">
        <v>664</v>
      </c>
      <c r="D137" s="78" t="s">
        <v>659</v>
      </c>
      <c r="E137" s="77" t="s">
        <v>246</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268</v>
      </c>
      <c r="S137" s="8" t="s">
        <v>30</v>
      </c>
      <c r="T137" s="8" t="s">
        <v>2354</v>
      </c>
      <c r="U137" s="7" t="s">
        <v>657</v>
      </c>
      <c r="W137">
        <v>36</v>
      </c>
      <c r="X137" t="s">
        <v>2036</v>
      </c>
      <c r="Y137">
        <f t="shared" si="3"/>
        <v>240</v>
      </c>
      <c r="Z137" t="str">
        <f t="shared" si="4"/>
        <v>D-36</v>
      </c>
      <c r="AB137">
        <v>291</v>
      </c>
      <c r="AC137" t="s">
        <v>2132</v>
      </c>
    </row>
    <row r="138" spans="1:29">
      <c r="A138" s="75" t="s">
        <v>256</v>
      </c>
      <c r="B138" s="77" t="str">
        <f>Texte!$B$319</f>
        <v>Wärmeverteilung und -Abgabe Büro (SIA 2032)</v>
      </c>
      <c r="C138" s="75"/>
      <c r="D138" s="75"/>
      <c r="E138" s="75" t="s">
        <v>246</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268</v>
      </c>
      <c r="S138" s="8" t="s">
        <v>30</v>
      </c>
      <c r="T138" s="8" t="s">
        <v>2354</v>
      </c>
      <c r="U138" s="7" t="s">
        <v>761</v>
      </c>
      <c r="W138">
        <v>37</v>
      </c>
      <c r="X138" t="s">
        <v>2037</v>
      </c>
      <c r="Y138">
        <f t="shared" ref="Y138:Y151" si="7">RIGHT(X138,3)*1</f>
        <v>297</v>
      </c>
      <c r="Z138" t="str">
        <f t="shared" ref="Z138:Z151" si="8">RIGHT(A138,LEN(A138)-SEARCH("_",A138,3))&amp;"-"&amp;W138</f>
        <v>D-37</v>
      </c>
      <c r="AB138">
        <v>292</v>
      </c>
      <c r="AC138" t="s">
        <v>2153</v>
      </c>
    </row>
    <row r="139" spans="1:29">
      <c r="A139" s="75" t="s">
        <v>256</v>
      </c>
      <c r="B139" s="77" t="str">
        <f>Texte!$B$318</f>
        <v>Wärmeverteilung und -Abgabe Wohnen (SIA 2032)</v>
      </c>
      <c r="C139" s="75"/>
      <c r="D139" s="75"/>
      <c r="E139" s="75" t="s">
        <v>246</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268</v>
      </c>
      <c r="S139" s="8" t="s">
        <v>30</v>
      </c>
      <c r="T139" s="8" t="s">
        <v>2354</v>
      </c>
      <c r="U139" s="7" t="s">
        <v>761</v>
      </c>
      <c r="W139">
        <v>38</v>
      </c>
      <c r="X139" t="s">
        <v>2038</v>
      </c>
      <c r="Y139">
        <f t="shared" si="7"/>
        <v>296</v>
      </c>
      <c r="Z139" t="str">
        <f t="shared" si="8"/>
        <v>D-38</v>
      </c>
      <c r="AB139">
        <v>293</v>
      </c>
      <c r="AC139" t="s">
        <v>2152</v>
      </c>
    </row>
    <row r="140" spans="1:29">
      <c r="A140" s="77" t="s">
        <v>256</v>
      </c>
      <c r="B140" s="77" t="str">
        <f>Texte!$B$263</f>
        <v>Wärmeverteilung und Abgabe, Luftheizung (KBOB)</v>
      </c>
      <c r="C140" s="77" t="s">
        <v>668</v>
      </c>
      <c r="D140" s="78" t="s">
        <v>659</v>
      </c>
      <c r="E140" s="77" t="s">
        <v>246</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268</v>
      </c>
      <c r="S140" s="8" t="s">
        <v>30</v>
      </c>
      <c r="T140" s="8" t="s">
        <v>2354</v>
      </c>
      <c r="U140" s="7" t="s">
        <v>657</v>
      </c>
      <c r="W140">
        <v>39</v>
      </c>
      <c r="X140" t="s">
        <v>2039</v>
      </c>
      <c r="Y140">
        <f t="shared" si="7"/>
        <v>241</v>
      </c>
      <c r="Z140" t="str">
        <f t="shared" si="8"/>
        <v>D-39</v>
      </c>
      <c r="AB140">
        <v>294</v>
      </c>
      <c r="AC140" t="s">
        <v>2174</v>
      </c>
    </row>
    <row r="141" spans="1:29">
      <c r="A141" s="77" t="s">
        <v>256</v>
      </c>
      <c r="B141" s="77" t="str">
        <f>Texte!$B$264</f>
        <v>Wärmeverteilung Wohngebäude (KBOB)</v>
      </c>
      <c r="C141" s="77" t="s">
        <v>663</v>
      </c>
      <c r="D141" s="78" t="s">
        <v>659</v>
      </c>
      <c r="E141" s="77" t="s">
        <v>246</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268</v>
      </c>
      <c r="S141" s="8" t="s">
        <v>30</v>
      </c>
      <c r="T141" s="8" t="s">
        <v>2354</v>
      </c>
      <c r="U141" s="7" t="s">
        <v>657</v>
      </c>
      <c r="W141">
        <v>40</v>
      </c>
      <c r="X141" t="s">
        <v>2040</v>
      </c>
      <c r="Y141">
        <f t="shared" si="7"/>
        <v>242</v>
      </c>
      <c r="Z141" t="str">
        <f t="shared" si="8"/>
        <v>D-40</v>
      </c>
      <c r="AB141">
        <v>295</v>
      </c>
      <c r="AC141" t="s">
        <v>2184</v>
      </c>
    </row>
    <row r="142" spans="1:29">
      <c r="A142" s="77" t="s">
        <v>257</v>
      </c>
      <c r="B142" s="77" t="str">
        <f>Texte!$B$265</f>
        <v>Alu-Fenster 3-IV (BTK)</v>
      </c>
      <c r="C142" s="77" t="s">
        <v>594</v>
      </c>
      <c r="D142" s="77" t="s">
        <v>593</v>
      </c>
      <c r="E142" s="77" t="s">
        <v>242</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341</v>
      </c>
      <c r="U142" s="7" t="s">
        <v>651</v>
      </c>
      <c r="W142">
        <v>1</v>
      </c>
      <c r="X142" t="s">
        <v>2041</v>
      </c>
      <c r="Y142">
        <f t="shared" si="7"/>
        <v>243</v>
      </c>
      <c r="Z142" t="str">
        <f t="shared" si="8"/>
        <v>E3-1</v>
      </c>
      <c r="AB142">
        <v>296</v>
      </c>
      <c r="AC142" t="s">
        <v>2187</v>
      </c>
    </row>
    <row r="143" spans="1:29">
      <c r="A143" s="77" t="s">
        <v>257</v>
      </c>
      <c r="B143" s="77" t="str">
        <f>Texte!$B$266</f>
        <v>Aussentüre Holz (BTK)</v>
      </c>
      <c r="C143" s="77" t="s">
        <v>595</v>
      </c>
      <c r="D143" s="77" t="s">
        <v>596</v>
      </c>
      <c r="E143" s="77" t="s">
        <v>242</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341</v>
      </c>
      <c r="U143" s="7" t="s">
        <v>651</v>
      </c>
      <c r="W143">
        <v>2</v>
      </c>
      <c r="X143" t="s">
        <v>2042</v>
      </c>
      <c r="Y143">
        <f t="shared" si="7"/>
        <v>244</v>
      </c>
      <c r="Z143" t="str">
        <f t="shared" si="8"/>
        <v>E3-2</v>
      </c>
      <c r="AB143">
        <v>297</v>
      </c>
      <c r="AC143" t="s">
        <v>2186</v>
      </c>
    </row>
    <row r="144" spans="1:29">
      <c r="A144" s="77" t="s">
        <v>257</v>
      </c>
      <c r="B144" s="77" t="str">
        <f>Texte!$B$267</f>
        <v>Holzfenster 3-IV (BTK)</v>
      </c>
      <c r="C144" s="77" t="s">
        <v>588</v>
      </c>
      <c r="D144" s="77" t="s">
        <v>587</v>
      </c>
      <c r="E144" s="77" t="s">
        <v>242</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341</v>
      </c>
      <c r="U144" s="7" t="s">
        <v>651</v>
      </c>
      <c r="W144">
        <v>3</v>
      </c>
      <c r="X144" t="s">
        <v>2043</v>
      </c>
      <c r="Y144">
        <f t="shared" si="7"/>
        <v>245</v>
      </c>
      <c r="Z144" t="str">
        <f t="shared" si="8"/>
        <v>E3-3</v>
      </c>
      <c r="AB144">
        <v>298</v>
      </c>
      <c r="AC144" t="s">
        <v>2157</v>
      </c>
    </row>
    <row r="145" spans="1:29">
      <c r="A145" s="77" t="s">
        <v>257</v>
      </c>
      <c r="B145" s="77" t="str">
        <f>Texte!$B$268</f>
        <v>Holz-Metall-Fenster 3-IV (BTK)</v>
      </c>
      <c r="C145" s="77" t="s">
        <v>589</v>
      </c>
      <c r="D145" s="77" t="s">
        <v>590</v>
      </c>
      <c r="E145" s="77" t="s">
        <v>242</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341</v>
      </c>
      <c r="U145" s="7" t="s">
        <v>651</v>
      </c>
      <c r="W145">
        <v>4</v>
      </c>
      <c r="X145" t="s">
        <v>2044</v>
      </c>
      <c r="Y145">
        <f t="shared" si="7"/>
        <v>246</v>
      </c>
      <c r="Z145" t="str">
        <f t="shared" si="8"/>
        <v>E3-4</v>
      </c>
      <c r="AB145">
        <v>299</v>
      </c>
      <c r="AC145" t="s">
        <v>2173</v>
      </c>
    </row>
    <row r="146" spans="1:29">
      <c r="A146" s="77" t="s">
        <v>257</v>
      </c>
      <c r="B146" s="77" t="str">
        <f>Texte!$B$269</f>
        <v>Kunststofffenster 3-IV (BTK)</v>
      </c>
      <c r="C146" s="77" t="s">
        <v>592</v>
      </c>
      <c r="D146" s="77" t="s">
        <v>591</v>
      </c>
      <c r="E146" s="77" t="s">
        <v>242</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341</v>
      </c>
      <c r="U146" s="7" t="s">
        <v>651</v>
      </c>
      <c r="W146">
        <v>5</v>
      </c>
      <c r="X146" t="s">
        <v>2045</v>
      </c>
      <c r="Y146">
        <f t="shared" si="7"/>
        <v>247</v>
      </c>
      <c r="Z146" t="str">
        <f t="shared" si="8"/>
        <v>E3-5</v>
      </c>
      <c r="AB146">
        <v>300</v>
      </c>
      <c r="AC146" t="s">
        <v>2150</v>
      </c>
    </row>
    <row r="147" spans="1:29">
      <c r="A147" s="75" t="s">
        <v>257</v>
      </c>
      <c r="B147" s="77" t="str">
        <f>Texte!$B$298</f>
        <v>Mittelwert Fenster 3-fach IV, inkl. Sonnenschutz (SIA 2032)</v>
      </c>
      <c r="C147" s="75"/>
      <c r="D147" s="75"/>
      <c r="E147" s="75" t="s">
        <v>242</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341</v>
      </c>
      <c r="U147" s="7" t="s">
        <v>761</v>
      </c>
      <c r="W147">
        <v>6</v>
      </c>
      <c r="X147" t="s">
        <v>2046</v>
      </c>
      <c r="Y147">
        <f t="shared" si="7"/>
        <v>276</v>
      </c>
      <c r="Z147" t="str">
        <f t="shared" si="8"/>
        <v>E3-6</v>
      </c>
      <c r="AB147">
        <v>301</v>
      </c>
      <c r="AC147" t="s">
        <v>2164</v>
      </c>
    </row>
    <row r="148" spans="1:29">
      <c r="A148" s="75" t="s">
        <v>771</v>
      </c>
      <c r="B148" s="77" t="str">
        <f>Texte!$B$312</f>
        <v>Abgehängte Installationsdecke (Mittelwert) (SIA 2032)</v>
      </c>
      <c r="C148" s="75"/>
      <c r="D148" s="75"/>
      <c r="E148" s="75" t="s">
        <v>242</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341</v>
      </c>
      <c r="U148" s="7" t="s">
        <v>761</v>
      </c>
      <c r="W148">
        <v>1</v>
      </c>
      <c r="X148" t="s">
        <v>2047</v>
      </c>
      <c r="Y148">
        <f t="shared" si="7"/>
        <v>290</v>
      </c>
      <c r="Z148" t="str">
        <f t="shared" si="8"/>
        <v>G-1</v>
      </c>
      <c r="AB148">
        <v>302</v>
      </c>
      <c r="AC148" t="s">
        <v>2162</v>
      </c>
    </row>
    <row r="149" spans="1:29">
      <c r="A149" s="75" t="s">
        <v>771</v>
      </c>
      <c r="B149" s="77" t="str">
        <f>Texte!$B$311</f>
        <v>Dämmung gegen unbeheizt (SIA 2032)</v>
      </c>
      <c r="C149" s="75"/>
      <c r="D149" s="75"/>
      <c r="E149" s="75" t="s">
        <v>242</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341</v>
      </c>
      <c r="U149" s="7" t="s">
        <v>761</v>
      </c>
      <c r="W149">
        <v>2</v>
      </c>
      <c r="X149" t="s">
        <v>2048</v>
      </c>
      <c r="Y149">
        <f t="shared" si="7"/>
        <v>289</v>
      </c>
      <c r="Z149" t="str">
        <f t="shared" si="8"/>
        <v>G-2</v>
      </c>
      <c r="AB149">
        <v>303</v>
      </c>
      <c r="AC149" t="s">
        <v>2169</v>
      </c>
    </row>
    <row r="150" spans="1:29">
      <c r="A150" s="75" t="s">
        <v>771</v>
      </c>
      <c r="B150" s="77" t="str">
        <f>Texte!$B$309</f>
        <v>Fertiger Bodenbelag (ohne Unterkonstruktion) (SIA 2032)</v>
      </c>
      <c r="C150" s="75"/>
      <c r="D150" s="75"/>
      <c r="E150" s="75" t="s">
        <v>242</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341</v>
      </c>
      <c r="U150" s="7" t="s">
        <v>761</v>
      </c>
      <c r="W150">
        <v>3</v>
      </c>
      <c r="X150" t="s">
        <v>2049</v>
      </c>
      <c r="Y150">
        <f t="shared" si="7"/>
        <v>287</v>
      </c>
      <c r="Z150" t="str">
        <f t="shared" si="8"/>
        <v>G-3</v>
      </c>
      <c r="AB150">
        <v>304</v>
      </c>
      <c r="AC150" t="s">
        <v>2168</v>
      </c>
    </row>
    <row r="151" spans="1:29">
      <c r="A151" s="75" t="s">
        <v>771</v>
      </c>
      <c r="B151" s="77" t="str">
        <f>Texte!$B$310</f>
        <v>Unterkonstruktion und Bodenbelag (SIA 2032)</v>
      </c>
      <c r="C151" s="75"/>
      <c r="D151" s="75"/>
      <c r="E151" s="75" t="s">
        <v>242</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341</v>
      </c>
      <c r="U151" s="7" t="s">
        <v>761</v>
      </c>
      <c r="W151">
        <v>4</v>
      </c>
      <c r="X151" t="s">
        <v>2050</v>
      </c>
      <c r="Y151">
        <f t="shared" si="7"/>
        <v>288</v>
      </c>
      <c r="Z151" t="str">
        <f t="shared" si="8"/>
        <v>G-4</v>
      </c>
      <c r="AB151">
        <v>305</v>
      </c>
      <c r="AC151" t="s">
        <v>2146</v>
      </c>
    </row>
    <row r="152" spans="1:29" ht="57" customHeight="1">
      <c r="A152" s="8"/>
      <c r="B152" s="8"/>
      <c r="C152" s="8"/>
      <c r="D152" s="8"/>
      <c r="E152" s="8"/>
      <c r="F152" s="8"/>
      <c r="G152" s="8"/>
      <c r="H152" s="8"/>
      <c r="I152" s="8"/>
      <c r="J152" s="8"/>
      <c r="K152" s="8"/>
      <c r="L152" s="8"/>
      <c r="Q152" s="8"/>
      <c r="R152" s="8"/>
      <c r="S152" s="8"/>
      <c r="T152" s="8"/>
    </row>
    <row r="153" spans="1:29" ht="17.5">
      <c r="A153" s="12" t="s">
        <v>205</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203</v>
      </c>
      <c r="B155" s="20" t="s">
        <v>23</v>
      </c>
      <c r="C155" s="20" t="s">
        <v>202</v>
      </c>
      <c r="D155" s="20" t="s">
        <v>185</v>
      </c>
      <c r="E155" s="20" t="s">
        <v>232</v>
      </c>
      <c r="F155" s="20" t="s">
        <v>233</v>
      </c>
      <c r="G155" s="20" t="s">
        <v>276</v>
      </c>
      <c r="H155" s="110" t="s">
        <v>234</v>
      </c>
      <c r="I155" s="110"/>
      <c r="J155" s="110"/>
      <c r="K155" s="110" t="s">
        <v>235</v>
      </c>
      <c r="L155" s="110"/>
      <c r="M155" s="110"/>
      <c r="N155" s="110" t="s">
        <v>238</v>
      </c>
      <c r="O155" s="110"/>
      <c r="P155" s="110"/>
      <c r="Q155" s="20" t="s">
        <v>440</v>
      </c>
      <c r="R155" s="20" t="s">
        <v>230</v>
      </c>
      <c r="S155" s="20" t="s">
        <v>233</v>
      </c>
      <c r="T155" s="20" t="s">
        <v>2346</v>
      </c>
      <c r="U155" s="20" t="s">
        <v>534</v>
      </c>
    </row>
    <row r="156" spans="1:29" ht="28">
      <c r="A156" s="20"/>
      <c r="B156" s="20"/>
      <c r="C156" s="20"/>
      <c r="D156" s="20"/>
      <c r="E156" s="20"/>
      <c r="F156" s="20"/>
      <c r="G156" s="22" t="s">
        <v>277</v>
      </c>
      <c r="H156" s="21" t="s">
        <v>272</v>
      </c>
      <c r="I156" s="21" t="s">
        <v>236</v>
      </c>
      <c r="J156" s="21" t="s">
        <v>237</v>
      </c>
      <c r="K156" s="21" t="s">
        <v>273</v>
      </c>
      <c r="L156" s="21" t="s">
        <v>274</v>
      </c>
      <c r="M156" s="21" t="s">
        <v>275</v>
      </c>
      <c r="N156" s="21" t="s">
        <v>239</v>
      </c>
      <c r="O156" s="21" t="s">
        <v>240</v>
      </c>
      <c r="P156" s="21" t="s">
        <v>241</v>
      </c>
      <c r="Q156" s="21" t="s">
        <v>441</v>
      </c>
      <c r="R156" s="21"/>
      <c r="S156" s="21"/>
      <c r="T156" s="21"/>
      <c r="U156" s="21"/>
    </row>
    <row r="157" spans="1:29">
      <c r="A157" s="8" t="s">
        <v>1659</v>
      </c>
      <c r="B157" s="7" t="str">
        <f>Texte!$B$270</f>
        <v>Aushub (SIA 2032)</v>
      </c>
      <c r="C157" s="8"/>
      <c r="D157" s="75"/>
      <c r="E157" s="8" t="s">
        <v>762</v>
      </c>
      <c r="F157" s="8" t="s">
        <v>243</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265</v>
      </c>
      <c r="S157" s="8" t="s">
        <v>243</v>
      </c>
      <c r="T157" s="8" t="s">
        <v>2347</v>
      </c>
      <c r="U157" s="7" t="s">
        <v>761</v>
      </c>
      <c r="W157">
        <f>COUNTIF($A$157:A157,A157)</f>
        <v>1</v>
      </c>
      <c r="X157" t="s">
        <v>1914</v>
      </c>
      <c r="Y157">
        <f>IFERROR(RIGHT(X157,3)*1,"")</f>
        <v>248</v>
      </c>
      <c r="Z157" t="str">
        <f>IF(Y157&lt;&gt;"",RIGHT(A157,LEN(A157)-SEARCH("_",A157,3))&amp;"-"&amp;W157,"")</f>
        <v>B-1</v>
      </c>
      <c r="AB157">
        <v>180</v>
      </c>
      <c r="AC157" t="s">
        <v>2100</v>
      </c>
    </row>
    <row r="158" spans="1:29">
      <c r="A158" s="8" t="s">
        <v>1659</v>
      </c>
      <c r="B158" s="7" t="str">
        <f>Texte!$B$272</f>
        <v>Baugrubenabschluss, Schlitzwand (SIA 2032)</v>
      </c>
      <c r="C158" s="8"/>
      <c r="D158" s="75"/>
      <c r="E158" s="8" t="s">
        <v>242</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2347</v>
      </c>
      <c r="U158" s="7" t="s">
        <v>761</v>
      </c>
      <c r="W158">
        <f>COUNTIF($A$157:A158,A158)</f>
        <v>2</v>
      </c>
      <c r="X158" t="s">
        <v>1915</v>
      </c>
      <c r="Y158">
        <f t="shared" ref="Y158:Y221" si="9">IFERROR(RIGHT(X158,3)*1,"")</f>
        <v>250</v>
      </c>
      <c r="Z158" t="str">
        <f t="shared" ref="Z158:Z221" si="10">IF(Y158&lt;&gt;"",RIGHT(A158,LEN(A158)-SEARCH("_",A158,3))&amp;"-"&amp;W158,"")</f>
        <v>B-2</v>
      </c>
      <c r="AB158">
        <v>181</v>
      </c>
      <c r="AC158" t="s">
        <v>2101</v>
      </c>
    </row>
    <row r="159" spans="1:29">
      <c r="A159" s="8" t="s">
        <v>1659</v>
      </c>
      <c r="B159" s="7" t="str">
        <f>Texte!$B$271</f>
        <v>Baugrubenabschluss, Rühlwand (SIA 2032)</v>
      </c>
      <c r="C159" s="8"/>
      <c r="D159" s="75"/>
      <c r="E159" s="8" t="s">
        <v>242</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2347</v>
      </c>
      <c r="U159" s="7" t="s">
        <v>761</v>
      </c>
      <c r="W159">
        <f>COUNTIF($A$157:A159,A159)</f>
        <v>3</v>
      </c>
      <c r="X159" t="s">
        <v>1916</v>
      </c>
      <c r="Y159">
        <f t="shared" si="9"/>
        <v>249</v>
      </c>
      <c r="Z159" t="str">
        <f t="shared" si="10"/>
        <v>B-3</v>
      </c>
      <c r="AB159">
        <v>182</v>
      </c>
      <c r="AC159" t="s">
        <v>2102</v>
      </c>
    </row>
    <row r="160" spans="1:29">
      <c r="A160" s="8" t="s">
        <v>1659</v>
      </c>
      <c r="B160" s="7" t="str">
        <f>Texte!$B$273</f>
        <v>Baugrubenabschluss, Spundwand (SIA 2032)</v>
      </c>
      <c r="C160" s="8"/>
      <c r="D160" s="75"/>
      <c r="E160" s="8" t="s">
        <v>242</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2347</v>
      </c>
      <c r="U160" s="7" t="s">
        <v>761</v>
      </c>
      <c r="W160">
        <f>COUNTIF($A$157:A160,A160)</f>
        <v>4</v>
      </c>
      <c r="X160" t="s">
        <v>1917</v>
      </c>
      <c r="Y160">
        <f t="shared" si="9"/>
        <v>251</v>
      </c>
      <c r="Z160" t="str">
        <f t="shared" si="10"/>
        <v>B-4</v>
      </c>
      <c r="AB160">
        <v>183</v>
      </c>
      <c r="AC160" t="s">
        <v>2103</v>
      </c>
    </row>
    <row r="161" spans="1:29">
      <c r="A161" s="8" t="s">
        <v>1659</v>
      </c>
      <c r="B161" s="7" t="str">
        <f>Texte!$B$274</f>
        <v>Pfählung, Mikrobohrpfahl (SIA 2032)</v>
      </c>
      <c r="C161" s="8"/>
      <c r="D161" s="75"/>
      <c r="E161" s="8" t="s">
        <v>763</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341</v>
      </c>
      <c r="U161" s="7" t="s">
        <v>761</v>
      </c>
      <c r="W161">
        <f>COUNTIF($A$157:A161,A161)</f>
        <v>5</v>
      </c>
      <c r="X161" t="s">
        <v>1920</v>
      </c>
      <c r="Y161">
        <f t="shared" si="9"/>
        <v>252</v>
      </c>
      <c r="Z161" t="str">
        <f t="shared" si="10"/>
        <v>B-5</v>
      </c>
      <c r="AB161">
        <v>184</v>
      </c>
      <c r="AC161" t="s">
        <v>2104</v>
      </c>
    </row>
    <row r="162" spans="1:29">
      <c r="A162" s="8" t="s">
        <v>1659</v>
      </c>
      <c r="B162" s="7" t="str">
        <f>Texte!$B$275</f>
        <v>Pfählung, Ortbetonverdrängungspfahl (SIA 2032)</v>
      </c>
      <c r="C162" s="8"/>
      <c r="D162" s="75"/>
      <c r="E162" s="8" t="s">
        <v>763</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341</v>
      </c>
      <c r="U162" s="7" t="s">
        <v>761</v>
      </c>
      <c r="W162">
        <f>COUNTIF($A$157:A162,A162)</f>
        <v>6</v>
      </c>
      <c r="X162" t="s">
        <v>1921</v>
      </c>
      <c r="Y162">
        <f t="shared" si="9"/>
        <v>253</v>
      </c>
      <c r="Z162" t="str">
        <f t="shared" si="10"/>
        <v>B-6</v>
      </c>
      <c r="AB162">
        <v>185</v>
      </c>
      <c r="AC162" t="s">
        <v>2105</v>
      </c>
    </row>
    <row r="163" spans="1:29">
      <c r="A163" s="8" t="s">
        <v>1659</v>
      </c>
      <c r="B163" s="7" t="str">
        <f>Texte!$B$276</f>
        <v>Pfählung, Vorgefertigter Betonpfahl (SIA 2032)</v>
      </c>
      <c r="C163" s="8"/>
      <c r="D163" s="75"/>
      <c r="E163" s="8" t="s">
        <v>763</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341</v>
      </c>
      <c r="U163" s="7" t="s">
        <v>761</v>
      </c>
      <c r="W163">
        <f>COUNTIF($A$157:A163,A163)</f>
        <v>7</v>
      </c>
      <c r="X163" t="s">
        <v>1922</v>
      </c>
      <c r="Y163">
        <f t="shared" si="9"/>
        <v>254</v>
      </c>
      <c r="Z163" t="str">
        <f t="shared" si="10"/>
        <v>B-7</v>
      </c>
      <c r="AB163">
        <v>186</v>
      </c>
      <c r="AC163" t="s">
        <v>2106</v>
      </c>
    </row>
    <row r="164" spans="1:29">
      <c r="A164" s="8" t="s">
        <v>261</v>
      </c>
      <c r="B164" s="8" t="str">
        <f>Texte!$B$330</f>
        <v>Bodenplatte, Innensanierung mit Zementüberzug, 14cm XPS (BTK)</v>
      </c>
      <c r="C164" s="8" t="s">
        <v>458</v>
      </c>
      <c r="D164" s="80" t="s">
        <v>461</v>
      </c>
      <c r="E164" s="8" t="s">
        <v>242</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341</v>
      </c>
      <c r="U164" s="7" t="s">
        <v>651</v>
      </c>
      <c r="W164">
        <f>COUNTIF($A$157:A164,A164)</f>
        <v>1</v>
      </c>
      <c r="X164" t="s">
        <v>2294</v>
      </c>
      <c r="Y164">
        <f t="shared" si="9"/>
        <v>308</v>
      </c>
      <c r="Z164" t="str">
        <f t="shared" si="10"/>
        <v>C1-1</v>
      </c>
      <c r="AB164">
        <v>187</v>
      </c>
      <c r="AC164" t="s">
        <v>2107</v>
      </c>
    </row>
    <row r="165" spans="1:29">
      <c r="A165" s="8" t="s">
        <v>261</v>
      </c>
      <c r="B165" s="8" t="str">
        <f>Texte!$B$278</f>
        <v>Bodenplatte, Fundament gedämmt (SIA 2032)</v>
      </c>
      <c r="C165" s="8"/>
      <c r="D165" s="75"/>
      <c r="E165" s="8" t="s">
        <v>242</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341</v>
      </c>
      <c r="U165" s="7" t="s">
        <v>761</v>
      </c>
      <c r="W165">
        <f>COUNTIF($A$157:A165,A165)</f>
        <v>2</v>
      </c>
      <c r="X165" t="s">
        <v>1923</v>
      </c>
      <c r="Y165">
        <f t="shared" si="9"/>
        <v>256</v>
      </c>
      <c r="Z165" t="str">
        <f t="shared" si="10"/>
        <v>C1-2</v>
      </c>
      <c r="AB165">
        <v>188</v>
      </c>
      <c r="AC165" t="s">
        <v>2108</v>
      </c>
    </row>
    <row r="166" spans="1:29">
      <c r="A166" s="8" t="s">
        <v>261</v>
      </c>
      <c r="B166" s="8" t="str">
        <f>Texte!$B$277</f>
        <v>Bodenplatte, Fundament ungedämmt (SIA 2032)</v>
      </c>
      <c r="C166" s="8"/>
      <c r="D166" s="75"/>
      <c r="E166" s="8" t="s">
        <v>242</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341</v>
      </c>
      <c r="U166" s="7" t="s">
        <v>761</v>
      </c>
      <c r="W166">
        <f>COUNTIF($A$157:A166,A166)</f>
        <v>3</v>
      </c>
      <c r="X166" t="s">
        <v>1924</v>
      </c>
      <c r="Y166">
        <f t="shared" si="9"/>
        <v>255</v>
      </c>
      <c r="Z166" t="str">
        <f t="shared" si="10"/>
        <v>C1-3</v>
      </c>
      <c r="AB166">
        <v>189</v>
      </c>
      <c r="AC166" t="s">
        <v>2112</v>
      </c>
    </row>
    <row r="167" spans="1:29">
      <c r="A167" s="8" t="s">
        <v>1660</v>
      </c>
      <c r="B167" s="8" t="str">
        <f>Texte!$B$280</f>
        <v>Aussenwand unter Terrain gedämmt (SIA 2032)</v>
      </c>
      <c r="C167" s="8"/>
      <c r="D167" s="75"/>
      <c r="E167" s="8" t="s">
        <v>242</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341</v>
      </c>
      <c r="U167" s="7" t="s">
        <v>761</v>
      </c>
      <c r="W167">
        <f>COUNTIF($A$157:A167,A167)</f>
        <v>1</v>
      </c>
      <c r="X167" t="s">
        <v>1928</v>
      </c>
      <c r="Y167">
        <f t="shared" si="9"/>
        <v>258</v>
      </c>
      <c r="Z167" t="str">
        <f t="shared" si="10"/>
        <v>C211-1</v>
      </c>
      <c r="AB167">
        <v>190</v>
      </c>
      <c r="AC167" t="s">
        <v>2113</v>
      </c>
    </row>
    <row r="168" spans="1:29">
      <c r="A168" s="8" t="s">
        <v>1660</v>
      </c>
      <c r="B168" s="8" t="str">
        <f>Texte!$B$279</f>
        <v>Aussenwand unter Terrain ungedämmt (SIA 2032)</v>
      </c>
      <c r="C168" s="8"/>
      <c r="D168" s="75"/>
      <c r="E168" s="8" t="s">
        <v>242</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341</v>
      </c>
      <c r="U168" s="7" t="s">
        <v>761</v>
      </c>
      <c r="W168">
        <f>COUNTIF($A$157:A168,A168)</f>
        <v>2</v>
      </c>
      <c r="X168" t="s">
        <v>1929</v>
      </c>
      <c r="Y168">
        <f t="shared" si="9"/>
        <v>257</v>
      </c>
      <c r="Z168" t="str">
        <f t="shared" si="10"/>
        <v>C211-2</v>
      </c>
      <c r="AB168">
        <v>191</v>
      </c>
      <c r="AC168" t="s">
        <v>2114</v>
      </c>
    </row>
    <row r="169" spans="1:29">
      <c r="A169" s="8" t="s">
        <v>259</v>
      </c>
      <c r="B169" s="8" t="str">
        <f>Texte!B334</f>
        <v>Aussensanierung auf Mauerwerk zu unbeheizt (BTK)</v>
      </c>
      <c r="C169" s="8" t="s">
        <v>448</v>
      </c>
      <c r="D169" s="80" t="s">
        <v>465</v>
      </c>
      <c r="E169" s="8" t="s">
        <v>242</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341</v>
      </c>
      <c r="U169" s="7" t="s">
        <v>651</v>
      </c>
      <c r="W169">
        <f>COUNTIF($A$157:A169,A169)</f>
        <v>1</v>
      </c>
      <c r="X169" t="s">
        <v>2200</v>
      </c>
      <c r="Y169">
        <f t="shared" si="9"/>
        <v>312</v>
      </c>
      <c r="Z169" t="str">
        <f t="shared" si="10"/>
        <v>C212-1</v>
      </c>
      <c r="AB169">
        <v>192</v>
      </c>
      <c r="AC169" t="s">
        <v>2115</v>
      </c>
    </row>
    <row r="170" spans="1:29">
      <c r="A170" s="8" t="s">
        <v>259</v>
      </c>
      <c r="B170" s="8" t="str">
        <f>Texte!B332</f>
        <v>Hinterlüftete Aussenwärmedämmung auf Mauerwerk, 20cm Steinwolle (BTK)</v>
      </c>
      <c r="C170" s="8" t="s">
        <v>445</v>
      </c>
      <c r="D170" s="80" t="s">
        <v>463</v>
      </c>
      <c r="E170" s="8" t="s">
        <v>242</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341</v>
      </c>
      <c r="U170" s="7" t="s">
        <v>651</v>
      </c>
      <c r="W170">
        <f>COUNTIF($A$157:A170,A170)</f>
        <v>2</v>
      </c>
      <c r="X170" t="s">
        <v>2201</v>
      </c>
      <c r="Y170">
        <f t="shared" si="9"/>
        <v>310</v>
      </c>
      <c r="Z170" t="str">
        <f t="shared" si="10"/>
        <v>C212-2</v>
      </c>
      <c r="AB170">
        <v>193</v>
      </c>
      <c r="AC170" t="s">
        <v>2116</v>
      </c>
    </row>
    <row r="171" spans="1:29">
      <c r="A171" s="8" t="s">
        <v>259</v>
      </c>
      <c r="B171" s="8" t="str">
        <f>Texte!B333</f>
        <v>Innendämmung mit Verkleidung auf Mauerwerk, 22cm Steinwolle (BTK)</v>
      </c>
      <c r="C171" s="8" t="s">
        <v>447</v>
      </c>
      <c r="D171" s="80" t="s">
        <v>464</v>
      </c>
      <c r="E171" s="8" t="s">
        <v>242</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341</v>
      </c>
      <c r="U171" s="7" t="s">
        <v>651</v>
      </c>
      <c r="W171">
        <f>COUNTIF($A$157:A171,A171)</f>
        <v>3</v>
      </c>
      <c r="X171" t="s">
        <v>2202</v>
      </c>
      <c r="Y171">
        <f t="shared" si="9"/>
        <v>311</v>
      </c>
      <c r="Z171" t="str">
        <f t="shared" si="10"/>
        <v>C212-3</v>
      </c>
      <c r="AB171">
        <v>194</v>
      </c>
      <c r="AC171" t="s">
        <v>2117</v>
      </c>
    </row>
    <row r="172" spans="1:29">
      <c r="A172" s="8" t="s">
        <v>259</v>
      </c>
      <c r="B172" s="8" t="str">
        <f>Texte!B331</f>
        <v>Kompaktfassade auf Mauerwerk, 20cm EPS (BTK)</v>
      </c>
      <c r="C172" s="8" t="s">
        <v>446</v>
      </c>
      <c r="D172" s="80" t="s">
        <v>462</v>
      </c>
      <c r="E172" s="8" t="s">
        <v>242</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341</v>
      </c>
      <c r="U172" s="7" t="s">
        <v>651</v>
      </c>
      <c r="W172">
        <f>COUNTIF($A$157:A172,A172)</f>
        <v>4</v>
      </c>
      <c r="X172" t="s">
        <v>2203</v>
      </c>
      <c r="Y172">
        <f t="shared" si="9"/>
        <v>309</v>
      </c>
      <c r="Z172" t="str">
        <f t="shared" si="10"/>
        <v>C212-4</v>
      </c>
      <c r="AB172">
        <v>195</v>
      </c>
      <c r="AC172" t="s">
        <v>2118</v>
      </c>
    </row>
    <row r="173" spans="1:29">
      <c r="A173" s="8" t="s">
        <v>259</v>
      </c>
      <c r="B173" s="7" t="str">
        <f>$B$30</f>
        <v>Backsteinwand mit Innenputz, Zweischalenmauerwerk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341</v>
      </c>
      <c r="U173" s="7" t="str">
        <f t="shared" si="11"/>
        <v>SIA2032</v>
      </c>
      <c r="W173">
        <f>COUNTIF($A$157:A173,A173)</f>
        <v>5</v>
      </c>
      <c r="X173" t="s">
        <v>2204</v>
      </c>
      <c r="Y173" t="str">
        <f t="shared" si="9"/>
        <v/>
      </c>
      <c r="Z173" t="str">
        <f t="shared" si="10"/>
        <v/>
      </c>
      <c r="AB173">
        <v>196</v>
      </c>
      <c r="AC173" t="s">
        <v>2119</v>
      </c>
    </row>
    <row r="174" spans="1:29">
      <c r="A174" s="8" t="s">
        <v>259</v>
      </c>
      <c r="B174" s="7" t="str">
        <f>$B$31</f>
        <v>Backsteinwand mit Innenputz, hinterlüftete Bekleidung Faserzement/Naturstein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341</v>
      </c>
      <c r="U174" s="7" t="str">
        <f t="shared" si="11"/>
        <v>SIA2032</v>
      </c>
      <c r="W174">
        <f>COUNTIF($A$157:A174,A174)</f>
        <v>6</v>
      </c>
      <c r="X174" t="s">
        <v>2205</v>
      </c>
      <c r="Y174" t="str">
        <f t="shared" si="9"/>
        <v/>
      </c>
      <c r="Z174" t="str">
        <f t="shared" si="10"/>
        <v/>
      </c>
      <c r="AB174">
        <v>197</v>
      </c>
      <c r="AC174" t="s">
        <v>2120</v>
      </c>
    </row>
    <row r="175" spans="1:29">
      <c r="A175" s="8" t="s">
        <v>259</v>
      </c>
      <c r="B175" s="7" t="str">
        <f>$B$32</f>
        <v>Backsteinwand mit Innenputz, hinterlüftete Bekleidung Holz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341</v>
      </c>
      <c r="U175" s="7" t="str">
        <f t="shared" si="11"/>
        <v>SIA2032</v>
      </c>
      <c r="W175">
        <f>COUNTIF($A$157:A175,A175)</f>
        <v>7</v>
      </c>
      <c r="X175" t="s">
        <v>2206</v>
      </c>
      <c r="Y175" t="str">
        <f t="shared" si="9"/>
        <v/>
      </c>
      <c r="Z175" t="str">
        <f t="shared" si="10"/>
        <v/>
      </c>
      <c r="AB175">
        <v>198</v>
      </c>
      <c r="AC175" t="s">
        <v>2121</v>
      </c>
    </row>
    <row r="176" spans="1:29">
      <c r="A176" s="8" t="s">
        <v>259</v>
      </c>
      <c r="B176" s="7" t="str">
        <f>$B$33</f>
        <v>Backsteinwand mit Innenputz, hinterlüftete Bekleidung Metall/Glas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341</v>
      </c>
      <c r="U176" s="7" t="str">
        <f t="shared" si="11"/>
        <v>SIA2032</v>
      </c>
      <c r="W176">
        <f>COUNTIF($A$157:A176,A176)</f>
        <v>8</v>
      </c>
      <c r="X176" t="s">
        <v>2207</v>
      </c>
      <c r="Y176" t="str">
        <f t="shared" si="9"/>
        <v/>
      </c>
      <c r="Z176" t="str">
        <f t="shared" si="10"/>
        <v/>
      </c>
      <c r="AB176">
        <v>199</v>
      </c>
      <c r="AC176" t="s">
        <v>2122</v>
      </c>
    </row>
    <row r="177" spans="1:29">
      <c r="A177" s="8" t="s">
        <v>259</v>
      </c>
      <c r="B177" s="7" t="str">
        <f>$B$34</f>
        <v>Backsteinwand mit Innenputz, verputzte Aussenwärmedämmung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341</v>
      </c>
      <c r="U177" s="7" t="str">
        <f t="shared" si="11"/>
        <v>SIA2032</v>
      </c>
      <c r="W177">
        <f>COUNTIF($A$157:A177,A177)</f>
        <v>9</v>
      </c>
      <c r="X177" t="s">
        <v>2208</v>
      </c>
      <c r="Y177" t="str">
        <f t="shared" si="9"/>
        <v/>
      </c>
      <c r="Z177" t="str">
        <f t="shared" si="10"/>
        <v/>
      </c>
      <c r="AB177">
        <v>200</v>
      </c>
      <c r="AC177" t="s">
        <v>2123</v>
      </c>
    </row>
    <row r="178" spans="1:29">
      <c r="A178" s="8" t="s">
        <v>259</v>
      </c>
      <c r="B178" s="7" t="str">
        <f>$B$35</f>
        <v>Betonwand mit Innenputz, äussere Backsteinverkleidung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341</v>
      </c>
      <c r="U178" s="7" t="s">
        <v>761</v>
      </c>
      <c r="W178">
        <f>COUNTIF($A$157:A178,A178)</f>
        <v>10</v>
      </c>
      <c r="X178" t="s">
        <v>2209</v>
      </c>
      <c r="Y178" t="str">
        <f t="shared" si="9"/>
        <v/>
      </c>
      <c r="Z178" t="str">
        <f t="shared" si="10"/>
        <v/>
      </c>
      <c r="AB178">
        <v>201</v>
      </c>
      <c r="AC178" t="s">
        <v>2124</v>
      </c>
    </row>
    <row r="179" spans="1:29">
      <c r="A179" s="8" t="s">
        <v>259</v>
      </c>
      <c r="B179" s="7" t="str">
        <f>$B$36</f>
        <v>Betonwand mit Innenputz, hinterlüftete Bekleidung Faserzement/Naturstein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341</v>
      </c>
      <c r="U179" s="7" t="s">
        <v>761</v>
      </c>
      <c r="W179">
        <f>COUNTIF($A$157:A179,A179)</f>
        <v>11</v>
      </c>
      <c r="X179" t="s">
        <v>2210</v>
      </c>
      <c r="Y179" t="str">
        <f t="shared" si="9"/>
        <v/>
      </c>
      <c r="Z179" t="str">
        <f t="shared" si="10"/>
        <v/>
      </c>
      <c r="AB179">
        <v>202</v>
      </c>
      <c r="AC179" t="s">
        <v>2125</v>
      </c>
    </row>
    <row r="180" spans="1:29">
      <c r="A180" s="8" t="s">
        <v>259</v>
      </c>
      <c r="B180" s="7" t="str">
        <f>$B$37</f>
        <v>Betonwand mit Innenputz, hinterlüftete Bekleidung Metall/Glas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341</v>
      </c>
      <c r="U180" s="7" t="s">
        <v>761</v>
      </c>
      <c r="W180">
        <f>COUNTIF($A$157:A180,A180)</f>
        <v>12</v>
      </c>
      <c r="X180" t="s">
        <v>2211</v>
      </c>
      <c r="Y180" t="str">
        <f t="shared" si="9"/>
        <v/>
      </c>
      <c r="Z180" t="str">
        <f t="shared" si="10"/>
        <v/>
      </c>
      <c r="AB180">
        <v>203</v>
      </c>
      <c r="AC180" t="s">
        <v>2130</v>
      </c>
    </row>
    <row r="181" spans="1:29">
      <c r="A181" s="8" t="s">
        <v>259</v>
      </c>
      <c r="B181" s="7" t="str">
        <f>$B$38</f>
        <v>Betonwand mit Innenputz, verputzte Aussenwärmedämmung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341</v>
      </c>
      <c r="U181" s="7" t="s">
        <v>761</v>
      </c>
      <c r="W181">
        <f>COUNTIF($A$157:A181,A181)</f>
        <v>13</v>
      </c>
      <c r="X181" t="s">
        <v>2212</v>
      </c>
      <c r="Y181" t="str">
        <f t="shared" si="9"/>
        <v/>
      </c>
      <c r="Z181" t="str">
        <f t="shared" si="10"/>
        <v/>
      </c>
      <c r="AB181">
        <v>204</v>
      </c>
      <c r="AC181" t="s">
        <v>2131</v>
      </c>
    </row>
    <row r="182" spans="1:29">
      <c r="A182" s="8" t="s">
        <v>259</v>
      </c>
      <c r="B182" s="7" t="str">
        <f>$B$39</f>
        <v>Einsteinmauerwerk dämmend, mit Innenputz und Aussenputz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341</v>
      </c>
      <c r="U182" s="7" t="s">
        <v>761</v>
      </c>
      <c r="W182">
        <f>COUNTIF($A$157:A182,A182)</f>
        <v>14</v>
      </c>
      <c r="X182" t="s">
        <v>2213</v>
      </c>
      <c r="Y182" t="str">
        <f t="shared" si="9"/>
        <v/>
      </c>
      <c r="Z182" t="str">
        <f t="shared" si="10"/>
        <v/>
      </c>
      <c r="AB182">
        <v>205</v>
      </c>
      <c r="AC182" t="s">
        <v>2322</v>
      </c>
    </row>
    <row r="183" spans="1:29">
      <c r="A183" s="8" t="s">
        <v>259</v>
      </c>
      <c r="B183" s="7" t="str">
        <f>$B$40</f>
        <v>Einsteinmauerwerk dämmend, mit Innenputz und verputzter Aussenwärmedämmung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341</v>
      </c>
      <c r="U183" s="7" t="s">
        <v>761</v>
      </c>
      <c r="W183">
        <f>COUNTIF($A$157:A183,A183)</f>
        <v>15</v>
      </c>
      <c r="X183" t="s">
        <v>2214</v>
      </c>
      <c r="Y183" t="str">
        <f t="shared" si="9"/>
        <v/>
      </c>
      <c r="Z183" t="str">
        <f t="shared" si="10"/>
        <v/>
      </c>
      <c r="AB183">
        <v>206</v>
      </c>
      <c r="AC183" t="s">
        <v>2323</v>
      </c>
    </row>
    <row r="184" spans="1:29">
      <c r="A184" s="8" t="s">
        <v>259</v>
      </c>
      <c r="B184" s="7" t="str">
        <f>$B$41</f>
        <v>Holzwand mit innerer Gipsbekleidung, hinterlüftete Bekleidung Faserzement/Naturstein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341</v>
      </c>
      <c r="U184" s="7" t="s">
        <v>761</v>
      </c>
      <c r="W184">
        <f>COUNTIF($A$157:A184,A184)</f>
        <v>16</v>
      </c>
      <c r="X184" t="s">
        <v>2215</v>
      </c>
      <c r="Y184" t="str">
        <f t="shared" si="9"/>
        <v/>
      </c>
      <c r="Z184" t="str">
        <f t="shared" si="10"/>
        <v/>
      </c>
      <c r="AB184">
        <v>216</v>
      </c>
      <c r="AC184" t="s">
        <v>2150</v>
      </c>
    </row>
    <row r="185" spans="1:29">
      <c r="A185" s="8" t="s">
        <v>259</v>
      </c>
      <c r="B185" s="7" t="str">
        <f>$B$42</f>
        <v>Holzwand mit innerer Gipsbekleidung, hinterlüftete Bekleidung Holz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341</v>
      </c>
      <c r="U185" s="7" t="s">
        <v>761</v>
      </c>
      <c r="W185">
        <f>COUNTIF($A$157:A185,A185)</f>
        <v>17</v>
      </c>
      <c r="X185" t="s">
        <v>2216</v>
      </c>
      <c r="Y185" t="str">
        <f t="shared" si="9"/>
        <v/>
      </c>
      <c r="Z185" t="str">
        <f t="shared" si="10"/>
        <v/>
      </c>
      <c r="AB185">
        <v>217</v>
      </c>
      <c r="AC185" t="s">
        <v>2151</v>
      </c>
    </row>
    <row r="186" spans="1:29">
      <c r="A186" s="8" t="s">
        <v>259</v>
      </c>
      <c r="B186" s="7" t="str">
        <f>$B$43</f>
        <v>Holzwand mit innerer Gipsbekleidung, hinterlüftete Bekleidung Metall/Glas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341</v>
      </c>
      <c r="U186" s="7" t="s">
        <v>761</v>
      </c>
      <c r="W186">
        <f>COUNTIF($A$157:A186,A186)</f>
        <v>18</v>
      </c>
      <c r="X186" t="s">
        <v>2217</v>
      </c>
      <c r="Y186" t="str">
        <f t="shared" si="9"/>
        <v/>
      </c>
      <c r="Z186" t="str">
        <f t="shared" si="10"/>
        <v/>
      </c>
      <c r="AB186">
        <v>218</v>
      </c>
      <c r="AC186" t="s">
        <v>2152</v>
      </c>
    </row>
    <row r="187" spans="1:29">
      <c r="A187" s="8" t="s">
        <v>259</v>
      </c>
      <c r="B187" s="7" t="str">
        <f>$B$44</f>
        <v>Stützenraster, Fassadensystem Alu/Glas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341</v>
      </c>
      <c r="U187" s="7" t="s">
        <v>761</v>
      </c>
      <c r="W187">
        <f>COUNTIF($A$157:A187,A187)</f>
        <v>19</v>
      </c>
      <c r="X187" t="s">
        <v>2218</v>
      </c>
      <c r="Y187" t="str">
        <f t="shared" si="9"/>
        <v/>
      </c>
      <c r="Z187" t="str">
        <f t="shared" si="10"/>
        <v/>
      </c>
      <c r="AB187">
        <v>219</v>
      </c>
      <c r="AC187" t="s">
        <v>2153</v>
      </c>
    </row>
    <row r="188" spans="1:29">
      <c r="A188" s="7" t="s">
        <v>460</v>
      </c>
      <c r="B188" s="7" t="str">
        <f>Texte!B202</f>
        <v>Backstein-Innenwand verputzt (BTK)</v>
      </c>
      <c r="C188" s="7" t="s">
        <v>597</v>
      </c>
      <c r="D188" s="77" t="s">
        <v>598</v>
      </c>
      <c r="E188" s="7" t="s">
        <v>242</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266</v>
      </c>
      <c r="S188" s="8" t="s">
        <v>30</v>
      </c>
      <c r="T188" s="8" t="s">
        <v>341</v>
      </c>
      <c r="U188" s="7" t="s">
        <v>651</v>
      </c>
      <c r="W188">
        <f>COUNTIF($A$157:A188,A188)</f>
        <v>1</v>
      </c>
      <c r="X188" t="s">
        <v>2219</v>
      </c>
      <c r="Y188">
        <f t="shared" si="9"/>
        <v>180</v>
      </c>
      <c r="Z188" t="str">
        <f t="shared" si="10"/>
        <v>C22-1</v>
      </c>
      <c r="AB188">
        <v>220</v>
      </c>
      <c r="AC188" t="s">
        <v>2154</v>
      </c>
    </row>
    <row r="189" spans="1:29">
      <c r="A189" s="7" t="s">
        <v>460</v>
      </c>
      <c r="B189" s="7" t="str">
        <f>Texte!B203</f>
        <v>Betonwand 20cm (BTK)</v>
      </c>
      <c r="C189" s="7" t="s">
        <v>601</v>
      </c>
      <c r="D189" s="77" t="s">
        <v>602</v>
      </c>
      <c r="E189" s="7" t="s">
        <v>242</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266</v>
      </c>
      <c r="S189" s="8" t="s">
        <v>30</v>
      </c>
      <c r="T189" s="8" t="s">
        <v>341</v>
      </c>
      <c r="U189" s="7" t="s">
        <v>651</v>
      </c>
      <c r="W189">
        <f>COUNTIF($A$157:A189,A189)</f>
        <v>2</v>
      </c>
      <c r="X189" t="s">
        <v>2220</v>
      </c>
      <c r="Y189">
        <f t="shared" si="9"/>
        <v>181</v>
      </c>
      <c r="Z189" t="str">
        <f t="shared" si="10"/>
        <v>C22-2</v>
      </c>
      <c r="AB189">
        <v>221</v>
      </c>
      <c r="AC189" t="s">
        <v>2155</v>
      </c>
    </row>
    <row r="190" spans="1:29">
      <c r="A190" s="7" t="s">
        <v>460</v>
      </c>
      <c r="B190" s="7" t="str">
        <f>Texte!B204</f>
        <v>Leichtbauwand Gipskarton, 2-fach beplankt (BTK)</v>
      </c>
      <c r="C190" s="7" t="s">
        <v>603</v>
      </c>
      <c r="D190" s="77" t="s">
        <v>604</v>
      </c>
      <c r="E190" s="7" t="s">
        <v>242</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266</v>
      </c>
      <c r="S190" s="8" t="s">
        <v>30</v>
      </c>
      <c r="T190" s="8" t="s">
        <v>341</v>
      </c>
      <c r="U190" s="7" t="s">
        <v>651</v>
      </c>
      <c r="W190">
        <f>COUNTIF($A$157:A190,A190)</f>
        <v>3</v>
      </c>
      <c r="X190" t="s">
        <v>2221</v>
      </c>
      <c r="Y190">
        <f t="shared" si="9"/>
        <v>182</v>
      </c>
      <c r="Z190" t="str">
        <f t="shared" si="10"/>
        <v>C22-3</v>
      </c>
      <c r="AB190">
        <v>222</v>
      </c>
      <c r="AC190" t="s">
        <v>2156</v>
      </c>
    </row>
    <row r="191" spans="1:29">
      <c r="A191" s="7" t="s">
        <v>460</v>
      </c>
      <c r="B191" s="7" t="str">
        <f>Texte!B205</f>
        <v>Trennwand 1-schalig, Ständer, Gipskarton einfach beplankt (Lignum)</v>
      </c>
      <c r="C191" s="7" t="s">
        <v>502</v>
      </c>
      <c r="D191" s="77" t="s">
        <v>499</v>
      </c>
      <c r="E191" s="7" t="s">
        <v>242</v>
      </c>
      <c r="F191" s="7" t="s">
        <v>30</v>
      </c>
      <c r="G191" s="7">
        <v>30</v>
      </c>
      <c r="H191" s="43">
        <v>3.5833333333333335</v>
      </c>
      <c r="I191" s="43">
        <v>0</v>
      </c>
      <c r="J191" s="43">
        <v>0</v>
      </c>
      <c r="K191" s="47">
        <v>0.77333333333333332</v>
      </c>
      <c r="L191" s="47"/>
      <c r="M191" s="47"/>
      <c r="N191" s="50">
        <v>1180.9000000000001</v>
      </c>
      <c r="O191" s="50"/>
      <c r="P191" s="50"/>
      <c r="Q191" s="7" t="s">
        <v>19</v>
      </c>
      <c r="R191" s="7" t="s">
        <v>266</v>
      </c>
      <c r="S191" s="8" t="s">
        <v>30</v>
      </c>
      <c r="T191" s="8" t="s">
        <v>341</v>
      </c>
      <c r="U191" s="7" t="s">
        <v>652</v>
      </c>
      <c r="W191">
        <f>COUNTIF($A$157:A191,A191)</f>
        <v>4</v>
      </c>
      <c r="X191" t="s">
        <v>2222</v>
      </c>
      <c r="Y191">
        <f t="shared" si="9"/>
        <v>183</v>
      </c>
      <c r="Z191" t="str">
        <f t="shared" si="10"/>
        <v>C22-4</v>
      </c>
      <c r="AB191">
        <v>223</v>
      </c>
      <c r="AC191" t="s">
        <v>2157</v>
      </c>
    </row>
    <row r="192" spans="1:29">
      <c r="A192" s="7" t="s">
        <v>460</v>
      </c>
      <c r="B192" s="7" t="str">
        <f>Texte!B206</f>
        <v>Trennwand 2-Schalig, Ständer, Gipskarton einfach beplankt (Lignum)</v>
      </c>
      <c r="C192" s="7" t="s">
        <v>501</v>
      </c>
      <c r="D192" s="77" t="s">
        <v>498</v>
      </c>
      <c r="E192" s="7" t="s">
        <v>242</v>
      </c>
      <c r="F192" s="7" t="s">
        <v>30</v>
      </c>
      <c r="G192" s="7">
        <v>30</v>
      </c>
      <c r="H192" s="43">
        <v>2.5925925925925926</v>
      </c>
      <c r="I192" s="43">
        <v>0</v>
      </c>
      <c r="J192" s="43">
        <v>0</v>
      </c>
      <c r="K192" s="47">
        <v>0.58666666666666667</v>
      </c>
      <c r="L192" s="47"/>
      <c r="M192" s="47"/>
      <c r="N192" s="50">
        <v>864.76666666666665</v>
      </c>
      <c r="O192" s="50"/>
      <c r="P192" s="50"/>
      <c r="Q192" s="7" t="s">
        <v>19</v>
      </c>
      <c r="R192" s="7" t="s">
        <v>266</v>
      </c>
      <c r="S192" s="8" t="s">
        <v>30</v>
      </c>
      <c r="T192" s="8" t="s">
        <v>341</v>
      </c>
      <c r="U192" s="7" t="s">
        <v>652</v>
      </c>
      <c r="W192">
        <f>COUNTIF($A$157:A192,A192)</f>
        <v>5</v>
      </c>
      <c r="X192" t="s">
        <v>2223</v>
      </c>
      <c r="Y192">
        <f t="shared" si="9"/>
        <v>184</v>
      </c>
      <c r="Z192" t="str">
        <f t="shared" si="10"/>
        <v>C22-5</v>
      </c>
      <c r="AB192">
        <v>224</v>
      </c>
      <c r="AC192" t="s">
        <v>2158</v>
      </c>
    </row>
    <row r="193" spans="1:29">
      <c r="A193" s="7" t="s">
        <v>460</v>
      </c>
      <c r="B193" s="7" t="str">
        <f>Texte!B207</f>
        <v>Trennwand Holz (BTK)</v>
      </c>
      <c r="C193" s="7" t="s">
        <v>607</v>
      </c>
      <c r="D193" s="77" t="s">
        <v>608</v>
      </c>
      <c r="E193" s="7" t="s">
        <v>242</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266</v>
      </c>
      <c r="S193" s="8" t="s">
        <v>30</v>
      </c>
      <c r="T193" s="8" t="s">
        <v>341</v>
      </c>
      <c r="U193" s="7" t="s">
        <v>651</v>
      </c>
      <c r="W193">
        <f>COUNTIF($A$157:A193,A193)</f>
        <v>6</v>
      </c>
      <c r="X193" t="s">
        <v>2224</v>
      </c>
      <c r="Y193">
        <f t="shared" si="9"/>
        <v>185</v>
      </c>
      <c r="Z193" t="str">
        <f t="shared" si="10"/>
        <v>C22-6</v>
      </c>
      <c r="AB193">
        <v>225</v>
      </c>
      <c r="AC193" t="s">
        <v>2159</v>
      </c>
    </row>
    <row r="194" spans="1:29">
      <c r="A194" s="7" t="s">
        <v>460</v>
      </c>
      <c r="B194" s="7" t="str">
        <f>Texte!B208</f>
        <v>Trennwand Holz massiv, mit Vorsatzschale Gipskarton doppelt beplankt (Lignum)</v>
      </c>
      <c r="C194" s="7" t="s">
        <v>503</v>
      </c>
      <c r="D194" s="77" t="s">
        <v>500</v>
      </c>
      <c r="E194" s="7" t="s">
        <v>242</v>
      </c>
      <c r="F194" s="7" t="s">
        <v>30</v>
      </c>
      <c r="G194" s="7">
        <v>30</v>
      </c>
      <c r="H194" s="43">
        <v>7.2962962962962958</v>
      </c>
      <c r="I194" s="43">
        <v>0</v>
      </c>
      <c r="J194" s="43">
        <v>0</v>
      </c>
      <c r="K194" s="47">
        <v>1.5363333333333336</v>
      </c>
      <c r="L194" s="47"/>
      <c r="M194" s="47"/>
      <c r="N194" s="50">
        <v>2293.2666666666669</v>
      </c>
      <c r="O194" s="50"/>
      <c r="P194" s="50"/>
      <c r="Q194" s="7" t="s">
        <v>19</v>
      </c>
      <c r="R194" s="7" t="s">
        <v>266</v>
      </c>
      <c r="S194" s="8" t="s">
        <v>30</v>
      </c>
      <c r="T194" s="8" t="s">
        <v>341</v>
      </c>
      <c r="U194" s="7" t="s">
        <v>652</v>
      </c>
      <c r="W194">
        <f>COUNTIF($A$157:A194,A194)</f>
        <v>7</v>
      </c>
      <c r="X194" t="s">
        <v>2225</v>
      </c>
      <c r="Y194">
        <f t="shared" si="9"/>
        <v>186</v>
      </c>
      <c r="Z194" t="str">
        <f t="shared" si="10"/>
        <v>C22-7</v>
      </c>
      <c r="AB194">
        <v>226</v>
      </c>
      <c r="AC194" t="s">
        <v>2160</v>
      </c>
    </row>
    <row r="195" spans="1:29">
      <c r="A195" s="7" t="s">
        <v>460</v>
      </c>
      <c r="B195" s="7" t="str">
        <f>Texte!B209</f>
        <v>Trennwand Vollgips (BTK)</v>
      </c>
      <c r="C195" s="7" t="s">
        <v>605</v>
      </c>
      <c r="D195" s="77" t="s">
        <v>606</v>
      </c>
      <c r="E195" s="7" t="s">
        <v>242</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266</v>
      </c>
      <c r="S195" s="8" t="s">
        <v>30</v>
      </c>
      <c r="T195" s="8" t="s">
        <v>341</v>
      </c>
      <c r="U195" s="7" t="s">
        <v>651</v>
      </c>
      <c r="W195">
        <f>COUNTIF($A$157:A195,A195)</f>
        <v>8</v>
      </c>
      <c r="X195" t="s">
        <v>2226</v>
      </c>
      <c r="Y195">
        <f t="shared" si="9"/>
        <v>187</v>
      </c>
      <c r="Z195" t="str">
        <f t="shared" si="10"/>
        <v>C22-8</v>
      </c>
      <c r="AB195">
        <v>227</v>
      </c>
      <c r="AC195" t="s">
        <v>2161</v>
      </c>
    </row>
    <row r="196" spans="1:29">
      <c r="A196" s="7" t="s">
        <v>460</v>
      </c>
      <c r="B196" s="7" t="str">
        <f>Texte!B210</f>
        <v>Zweischalige Backsteinwand, verputzt (BTK)</v>
      </c>
      <c r="C196" s="7" t="s">
        <v>599</v>
      </c>
      <c r="D196" s="77" t="s">
        <v>600</v>
      </c>
      <c r="E196" s="7" t="s">
        <v>242</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266</v>
      </c>
      <c r="S196" s="8" t="s">
        <v>30</v>
      </c>
      <c r="T196" s="8" t="s">
        <v>341</v>
      </c>
      <c r="U196" s="7" t="s">
        <v>651</v>
      </c>
      <c r="W196">
        <f>COUNTIF($A$157:A196,A196)</f>
        <v>9</v>
      </c>
      <c r="X196" t="s">
        <v>2227</v>
      </c>
      <c r="Y196">
        <f t="shared" si="9"/>
        <v>188</v>
      </c>
      <c r="Z196" t="str">
        <f t="shared" si="10"/>
        <v>C22-9</v>
      </c>
      <c r="AB196">
        <v>228</v>
      </c>
      <c r="AC196" t="s">
        <v>2162</v>
      </c>
    </row>
    <row r="197" spans="1:29">
      <c r="A197" s="8" t="s">
        <v>460</v>
      </c>
      <c r="B197" s="7" t="str">
        <f>Texte!B305</f>
        <v>Mittelwert Innenwand nicht tragend (mit Innenputz) (SIA 2032)</v>
      </c>
      <c r="C197" s="8"/>
      <c r="D197" s="75"/>
      <c r="E197" s="8" t="s">
        <v>242</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266</v>
      </c>
      <c r="S197" s="8" t="s">
        <v>30</v>
      </c>
      <c r="T197" s="8" t="s">
        <v>341</v>
      </c>
      <c r="U197" s="7" t="s">
        <v>761</v>
      </c>
      <c r="W197">
        <f>COUNTIF($A$157:A197,A197)</f>
        <v>10</v>
      </c>
      <c r="X197" t="s">
        <v>2295</v>
      </c>
      <c r="Y197">
        <f t="shared" si="9"/>
        <v>283</v>
      </c>
      <c r="Z197" t="str">
        <f t="shared" si="10"/>
        <v>C22-10</v>
      </c>
      <c r="AB197">
        <v>229</v>
      </c>
      <c r="AC197" t="s">
        <v>2163</v>
      </c>
    </row>
    <row r="198" spans="1:29">
      <c r="A198" s="8" t="s">
        <v>460</v>
      </c>
      <c r="B198" s="7" t="str">
        <f>Texte!B304</f>
        <v>Mittelwert Innenwand tragend (mit Innenputz) (SIA 2032)</v>
      </c>
      <c r="C198" s="8"/>
      <c r="D198" s="75"/>
      <c r="E198" s="8" t="s">
        <v>242</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266</v>
      </c>
      <c r="S198" s="8" t="s">
        <v>30</v>
      </c>
      <c r="T198" s="8" t="s">
        <v>341</v>
      </c>
      <c r="U198" s="7" t="s">
        <v>761</v>
      </c>
      <c r="W198">
        <f>COUNTIF($A$157:A198,A198)</f>
        <v>11</v>
      </c>
      <c r="X198" t="s">
        <v>2296</v>
      </c>
      <c r="Y198">
        <f t="shared" si="9"/>
        <v>282</v>
      </c>
      <c r="Z198" t="str">
        <f t="shared" si="10"/>
        <v>C22-11</v>
      </c>
      <c r="AB198">
        <v>230</v>
      </c>
      <c r="AC198" t="s">
        <v>2164</v>
      </c>
    </row>
    <row r="199" spans="1:29">
      <c r="A199" s="8" t="s">
        <v>260</v>
      </c>
      <c r="B199" s="8" t="str">
        <f>Texte!B335</f>
        <v>Aussendämmung auf Betondecke zu unbeheizt (BTK)</v>
      </c>
      <c r="C199" s="8" t="s">
        <v>452</v>
      </c>
      <c r="D199" s="80" t="s">
        <v>466</v>
      </c>
      <c r="E199" s="8" t="s">
        <v>242</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341</v>
      </c>
      <c r="U199" s="7" t="s">
        <v>651</v>
      </c>
      <c r="W199">
        <f>COUNTIF($A$157:A199,A199)</f>
        <v>1</v>
      </c>
      <c r="X199" t="s">
        <v>2228</v>
      </c>
      <c r="Y199">
        <f t="shared" si="9"/>
        <v>313</v>
      </c>
      <c r="Z199" t="str">
        <f t="shared" si="10"/>
        <v>C41-1</v>
      </c>
      <c r="AB199">
        <v>231</v>
      </c>
      <c r="AC199" t="s">
        <v>2165</v>
      </c>
    </row>
    <row r="200" spans="1:29">
      <c r="A200" s="7" t="s">
        <v>260</v>
      </c>
      <c r="B200" s="7" t="str">
        <f>Texte!B211</f>
        <v>Balkendecke, Nassestrich mit heruntergehängter Decke (Lignum)</v>
      </c>
      <c r="C200" s="7" t="s">
        <v>507</v>
      </c>
      <c r="D200" s="77" t="s">
        <v>517</v>
      </c>
      <c r="E200" s="7" t="s">
        <v>242</v>
      </c>
      <c r="F200" s="7" t="s">
        <v>30</v>
      </c>
      <c r="G200" s="7">
        <v>60</v>
      </c>
      <c r="H200" s="43">
        <v>3.6111111111111112</v>
      </c>
      <c r="I200" s="43">
        <v>0</v>
      </c>
      <c r="J200" s="43">
        <v>0</v>
      </c>
      <c r="K200" s="47">
        <v>0.95133333333333325</v>
      </c>
      <c r="L200" s="47"/>
      <c r="M200" s="47"/>
      <c r="N200" s="50">
        <v>1397.65</v>
      </c>
      <c r="O200" s="50"/>
      <c r="P200" s="50"/>
      <c r="Q200" s="7" t="s">
        <v>19</v>
      </c>
      <c r="R200" s="7" t="s">
        <v>267</v>
      </c>
      <c r="S200" s="8" t="s">
        <v>30</v>
      </c>
      <c r="T200" s="8" t="s">
        <v>341</v>
      </c>
      <c r="U200" s="7" t="s">
        <v>652</v>
      </c>
      <c r="W200">
        <f>COUNTIF($A$157:A200,A200)</f>
        <v>2</v>
      </c>
      <c r="X200" t="s">
        <v>2229</v>
      </c>
      <c r="Y200">
        <f t="shared" si="9"/>
        <v>189</v>
      </c>
      <c r="Z200" t="str">
        <f t="shared" si="10"/>
        <v>C41-2</v>
      </c>
      <c r="AB200">
        <v>232</v>
      </c>
      <c r="AC200" t="s">
        <v>2166</v>
      </c>
    </row>
    <row r="201" spans="1:29">
      <c r="A201" s="7" t="s">
        <v>260</v>
      </c>
      <c r="B201" s="7" t="str">
        <f>Texte!B212</f>
        <v>Balkendecke, sichtbare Balken, einfache Decke mit Nassestrich (Lignum)</v>
      </c>
      <c r="C201" s="7" t="s">
        <v>506</v>
      </c>
      <c r="D201" s="77" t="s">
        <v>516</v>
      </c>
      <c r="E201" s="7" t="s">
        <v>242</v>
      </c>
      <c r="F201" s="7" t="s">
        <v>30</v>
      </c>
      <c r="G201" s="7">
        <v>60</v>
      </c>
      <c r="H201" s="43">
        <v>2.6064814814814814</v>
      </c>
      <c r="I201" s="43">
        <v>0</v>
      </c>
      <c r="J201" s="43">
        <v>0</v>
      </c>
      <c r="K201" s="47">
        <v>0.71716666666666673</v>
      </c>
      <c r="L201" s="47"/>
      <c r="M201" s="47"/>
      <c r="N201" s="50">
        <v>1173.4000000000001</v>
      </c>
      <c r="O201" s="50"/>
      <c r="P201" s="50"/>
      <c r="Q201" s="7" t="s">
        <v>19</v>
      </c>
      <c r="R201" s="7" t="s">
        <v>267</v>
      </c>
      <c r="S201" s="8" t="s">
        <v>30</v>
      </c>
      <c r="T201" s="8" t="s">
        <v>341</v>
      </c>
      <c r="U201" s="7" t="s">
        <v>652</v>
      </c>
      <c r="W201">
        <f>COUNTIF($A$157:A201,A201)</f>
        <v>3</v>
      </c>
      <c r="X201" t="s">
        <v>2230</v>
      </c>
      <c r="Y201">
        <f t="shared" si="9"/>
        <v>190</v>
      </c>
      <c r="Z201" t="str">
        <f t="shared" si="10"/>
        <v>C41-3</v>
      </c>
      <c r="AB201">
        <v>233</v>
      </c>
      <c r="AC201" t="s">
        <v>2167</v>
      </c>
    </row>
    <row r="202" spans="1:29">
      <c r="A202" s="7" t="s">
        <v>260</v>
      </c>
      <c r="B202" s="7" t="str">
        <f>Texte!B213</f>
        <v>Balkendecke, sichtbare Balken, einfache Decke mit Trockenestrich (Lignum)</v>
      </c>
      <c r="C202" s="7" t="s">
        <v>509</v>
      </c>
      <c r="D202" s="77" t="s">
        <v>519</v>
      </c>
      <c r="E202" s="7" t="s">
        <v>242</v>
      </c>
      <c r="F202" s="7" t="s">
        <v>30</v>
      </c>
      <c r="G202" s="7">
        <v>60</v>
      </c>
      <c r="H202" s="43">
        <v>2.9861111111111112</v>
      </c>
      <c r="I202" s="43">
        <v>0</v>
      </c>
      <c r="J202" s="43">
        <v>0</v>
      </c>
      <c r="K202" s="47">
        <v>0.60833333333333328</v>
      </c>
      <c r="L202" s="47"/>
      <c r="M202" s="47"/>
      <c r="N202" s="50">
        <v>1054.2833333333333</v>
      </c>
      <c r="O202" s="50"/>
      <c r="P202" s="50"/>
      <c r="Q202" s="7" t="s">
        <v>19</v>
      </c>
      <c r="R202" s="7" t="s">
        <v>267</v>
      </c>
      <c r="S202" s="8" t="s">
        <v>30</v>
      </c>
      <c r="T202" s="8" t="s">
        <v>341</v>
      </c>
      <c r="U202" s="7" t="s">
        <v>652</v>
      </c>
      <c r="W202">
        <f>COUNTIF($A$157:A202,A202)</f>
        <v>4</v>
      </c>
      <c r="X202" t="s">
        <v>2231</v>
      </c>
      <c r="Y202">
        <f t="shared" si="9"/>
        <v>191</v>
      </c>
      <c r="Z202" t="str">
        <f t="shared" si="10"/>
        <v>C41-4</v>
      </c>
      <c r="AB202">
        <v>234</v>
      </c>
      <c r="AC202" t="s">
        <v>2168</v>
      </c>
    </row>
    <row r="203" spans="1:29">
      <c r="A203" s="7" t="s">
        <v>260</v>
      </c>
      <c r="B203" s="7" t="str">
        <f>Texte!B214</f>
        <v>Balkendecke, Trockenestrich mit heruntergehängter Decke (Lignum)</v>
      </c>
      <c r="C203" s="7" t="s">
        <v>508</v>
      </c>
      <c r="D203" s="77" t="s">
        <v>518</v>
      </c>
      <c r="E203" s="7" t="s">
        <v>242</v>
      </c>
      <c r="F203" s="7" t="s">
        <v>30</v>
      </c>
      <c r="G203" s="7">
        <v>60</v>
      </c>
      <c r="H203" s="43">
        <v>4.5648148148148149</v>
      </c>
      <c r="I203" s="43">
        <v>0</v>
      </c>
      <c r="J203" s="43">
        <v>0</v>
      </c>
      <c r="K203" s="47">
        <v>0.97349999999999992</v>
      </c>
      <c r="L203" s="47"/>
      <c r="M203" s="47"/>
      <c r="N203" s="50">
        <v>1332.65</v>
      </c>
      <c r="O203" s="50"/>
      <c r="P203" s="50"/>
      <c r="Q203" s="7" t="s">
        <v>19</v>
      </c>
      <c r="R203" s="7" t="s">
        <v>267</v>
      </c>
      <c r="S203" s="8" t="s">
        <v>30</v>
      </c>
      <c r="T203" s="8" t="s">
        <v>341</v>
      </c>
      <c r="U203" s="7" t="s">
        <v>652</v>
      </c>
      <c r="W203">
        <f>COUNTIF($A$157:A203,A203)</f>
        <v>5</v>
      </c>
      <c r="X203" t="s">
        <v>2232</v>
      </c>
      <c r="Y203">
        <f t="shared" si="9"/>
        <v>192</v>
      </c>
      <c r="Z203" t="str">
        <f t="shared" si="10"/>
        <v>C41-5</v>
      </c>
      <c r="AB203">
        <v>235</v>
      </c>
      <c r="AC203" t="s">
        <v>2169</v>
      </c>
    </row>
    <row r="204" spans="1:29">
      <c r="A204" s="7" t="s">
        <v>260</v>
      </c>
      <c r="B204" s="7" t="str">
        <f>Texte!B215</f>
        <v>Betondecke 22 cm mit innerer Wärmedämmung EPS, Trittschalldämmung, Unterlagsboden (BTK)</v>
      </c>
      <c r="C204" s="7" t="s">
        <v>543</v>
      </c>
      <c r="D204" s="77" t="s">
        <v>544</v>
      </c>
      <c r="E204" s="7" t="s">
        <v>242</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267</v>
      </c>
      <c r="S204" s="8" t="s">
        <v>30</v>
      </c>
      <c r="T204" s="8" t="s">
        <v>341</v>
      </c>
      <c r="U204" s="7" t="s">
        <v>651</v>
      </c>
      <c r="W204">
        <f>COUNTIF($A$157:A204,A204)</f>
        <v>6</v>
      </c>
      <c r="X204" t="s">
        <v>2233</v>
      </c>
      <c r="Y204">
        <f t="shared" si="9"/>
        <v>193</v>
      </c>
      <c r="Z204" t="str">
        <f t="shared" si="10"/>
        <v>C41-6</v>
      </c>
      <c r="AB204">
        <v>236</v>
      </c>
      <c r="AC204" t="s">
        <v>2170</v>
      </c>
    </row>
    <row r="205" spans="1:29">
      <c r="A205" s="7" t="s">
        <v>260</v>
      </c>
      <c r="B205" s="7" t="str">
        <f>Texte!B216</f>
        <v>Betondecke 22cm mit innerer Wärmedämmung PUR, Unterlagsboden (BTK)</v>
      </c>
      <c r="C205" s="7" t="s">
        <v>541</v>
      </c>
      <c r="D205" s="77" t="s">
        <v>542</v>
      </c>
      <c r="E205" s="7" t="s">
        <v>242</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267</v>
      </c>
      <c r="S205" s="8" t="s">
        <v>30</v>
      </c>
      <c r="T205" s="8" t="s">
        <v>341</v>
      </c>
      <c r="U205" s="7" t="s">
        <v>651</v>
      </c>
      <c r="W205">
        <f>COUNTIF($A$157:A205,A205)</f>
        <v>7</v>
      </c>
      <c r="X205" t="s">
        <v>2234</v>
      </c>
      <c r="Y205">
        <f t="shared" si="9"/>
        <v>194</v>
      </c>
      <c r="Z205" t="str">
        <f t="shared" si="10"/>
        <v>C41-7</v>
      </c>
      <c r="AB205">
        <v>237</v>
      </c>
      <c r="AC205" t="s">
        <v>2171</v>
      </c>
    </row>
    <row r="206" spans="1:29">
      <c r="A206" s="7" t="s">
        <v>260</v>
      </c>
      <c r="B206" s="7" t="str">
        <f>Texte!B217</f>
        <v>Betondecke 22cm mit Trittschalldämmung und Unterlagsboden (BTK)</v>
      </c>
      <c r="C206" s="7" t="s">
        <v>546</v>
      </c>
      <c r="D206" s="77" t="s">
        <v>545</v>
      </c>
      <c r="E206" s="7" t="s">
        <v>242</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267</v>
      </c>
      <c r="S206" s="8" t="s">
        <v>30</v>
      </c>
      <c r="T206" s="8" t="s">
        <v>341</v>
      </c>
      <c r="U206" s="7" t="s">
        <v>651</v>
      </c>
      <c r="W206">
        <f>COUNTIF($A$157:A206,A206)</f>
        <v>8</v>
      </c>
      <c r="X206" t="s">
        <v>2235</v>
      </c>
      <c r="Y206">
        <f t="shared" si="9"/>
        <v>195</v>
      </c>
      <c r="Z206" t="str">
        <f t="shared" si="10"/>
        <v>C41-8</v>
      </c>
      <c r="AB206">
        <v>238</v>
      </c>
      <c r="AC206" t="s">
        <v>2172</v>
      </c>
    </row>
    <row r="207" spans="1:29">
      <c r="A207" s="7" t="s">
        <v>260</v>
      </c>
      <c r="B207" s="7" t="str">
        <f>Texte!B218</f>
        <v>Betondecke 22cm mit verputzter Aussenwärmedämmung (BTK)</v>
      </c>
      <c r="C207" s="7" t="s">
        <v>539</v>
      </c>
      <c r="D207" s="77" t="s">
        <v>540</v>
      </c>
      <c r="E207" s="7" t="s">
        <v>242</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267</v>
      </c>
      <c r="S207" s="8" t="s">
        <v>30</v>
      </c>
      <c r="T207" s="8" t="s">
        <v>341</v>
      </c>
      <c r="U207" s="7" t="s">
        <v>651</v>
      </c>
      <c r="W207">
        <f>COUNTIF($A$157:A207,A207)</f>
        <v>9</v>
      </c>
      <c r="X207" t="s">
        <v>2236</v>
      </c>
      <c r="Y207">
        <f t="shared" si="9"/>
        <v>196</v>
      </c>
      <c r="Z207" t="str">
        <f t="shared" si="10"/>
        <v>C41-9</v>
      </c>
      <c r="AB207">
        <v>239</v>
      </c>
      <c r="AC207" t="s">
        <v>2173</v>
      </c>
    </row>
    <row r="208" spans="1:29">
      <c r="A208" s="7" t="s">
        <v>260</v>
      </c>
      <c r="B208" s="7" t="str">
        <f>Texte!B219</f>
        <v>Brettschichtholz-Massivdecke 16cm, Trittschalldämmung, Unterlagsboden (BTK)</v>
      </c>
      <c r="C208" s="7" t="s">
        <v>549</v>
      </c>
      <c r="D208" s="77" t="s">
        <v>550</v>
      </c>
      <c r="E208" s="7" t="s">
        <v>242</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267</v>
      </c>
      <c r="S208" s="8" t="s">
        <v>30</v>
      </c>
      <c r="T208" s="8" t="s">
        <v>341</v>
      </c>
      <c r="U208" s="7" t="s">
        <v>651</v>
      </c>
      <c r="W208">
        <f>COUNTIF($A$157:A208,A208)</f>
        <v>10</v>
      </c>
      <c r="X208" t="s">
        <v>2237</v>
      </c>
      <c r="Y208">
        <f t="shared" si="9"/>
        <v>197</v>
      </c>
      <c r="Z208" t="str">
        <f t="shared" si="10"/>
        <v>C41-10</v>
      </c>
      <c r="AB208">
        <v>240</v>
      </c>
      <c r="AC208" t="s">
        <v>2174</v>
      </c>
    </row>
    <row r="209" spans="1:29">
      <c r="A209" s="7" t="s">
        <v>260</v>
      </c>
      <c r="B209" s="7" t="str">
        <f>Texte!B220</f>
        <v>Hohlkastendecke, Nassestrich mit heruntergeh. Decke (Lignum)</v>
      </c>
      <c r="C209" s="7" t="s">
        <v>511</v>
      </c>
      <c r="D209" s="77" t="s">
        <v>521</v>
      </c>
      <c r="E209" s="7" t="s">
        <v>242</v>
      </c>
      <c r="F209" s="7" t="s">
        <v>30</v>
      </c>
      <c r="G209" s="7">
        <v>60</v>
      </c>
      <c r="H209" s="43">
        <v>3.4722222222222223</v>
      </c>
      <c r="I209" s="43">
        <v>0</v>
      </c>
      <c r="J209" s="43">
        <v>0</v>
      </c>
      <c r="K209" s="47">
        <v>0.92500000000000004</v>
      </c>
      <c r="L209" s="47"/>
      <c r="M209" s="47"/>
      <c r="N209" s="50">
        <v>1330.7</v>
      </c>
      <c r="O209" s="50"/>
      <c r="P209" s="50"/>
      <c r="Q209" s="7" t="s">
        <v>19</v>
      </c>
      <c r="R209" s="7" t="s">
        <v>267</v>
      </c>
      <c r="S209" s="8" t="s">
        <v>30</v>
      </c>
      <c r="T209" s="8" t="s">
        <v>341</v>
      </c>
      <c r="U209" s="7" t="s">
        <v>652</v>
      </c>
      <c r="W209">
        <f>COUNTIF($A$157:A209,A209)</f>
        <v>11</v>
      </c>
      <c r="X209" t="s">
        <v>2238</v>
      </c>
      <c r="Y209">
        <f t="shared" si="9"/>
        <v>198</v>
      </c>
      <c r="Z209" t="str">
        <f t="shared" si="10"/>
        <v>C41-11</v>
      </c>
      <c r="AB209">
        <v>241</v>
      </c>
      <c r="AC209" t="s">
        <v>2175</v>
      </c>
    </row>
    <row r="210" spans="1:29">
      <c r="A210" s="7" t="s">
        <v>260</v>
      </c>
      <c r="B210" s="7" t="str">
        <f>Texte!B221</f>
        <v>Hohlkastendecke, Nassestrich, ohne heruntergeh. Decke (Lignum)</v>
      </c>
      <c r="C210" s="7" t="s">
        <v>510</v>
      </c>
      <c r="D210" s="77" t="s">
        <v>520</v>
      </c>
      <c r="E210" s="7" t="s">
        <v>242</v>
      </c>
      <c r="F210" s="7" t="s">
        <v>30</v>
      </c>
      <c r="G210" s="7">
        <v>60</v>
      </c>
      <c r="H210" s="43">
        <v>2.8657407407407405</v>
      </c>
      <c r="I210" s="43">
        <v>0</v>
      </c>
      <c r="J210" s="43">
        <v>0</v>
      </c>
      <c r="K210" s="47">
        <v>0.57266666666666666</v>
      </c>
      <c r="L210" s="47"/>
      <c r="M210" s="47"/>
      <c r="N210" s="50">
        <v>1117.7</v>
      </c>
      <c r="O210" s="50"/>
      <c r="P210" s="50"/>
      <c r="Q210" s="7" t="s">
        <v>19</v>
      </c>
      <c r="R210" s="7" t="s">
        <v>267</v>
      </c>
      <c r="S210" s="8" t="s">
        <v>30</v>
      </c>
      <c r="T210" s="8" t="s">
        <v>341</v>
      </c>
      <c r="U210" s="7" t="s">
        <v>652</v>
      </c>
      <c r="W210">
        <f>COUNTIF($A$157:A210,A210)</f>
        <v>12</v>
      </c>
      <c r="X210" t="s">
        <v>2239</v>
      </c>
      <c r="Y210">
        <f t="shared" si="9"/>
        <v>199</v>
      </c>
      <c r="Z210" t="str">
        <f t="shared" si="10"/>
        <v>C41-12</v>
      </c>
      <c r="AB210">
        <v>242</v>
      </c>
      <c r="AC210" t="s">
        <v>2176</v>
      </c>
    </row>
    <row r="211" spans="1:29">
      <c r="A211" s="7" t="s">
        <v>260</v>
      </c>
      <c r="B211" s="7" t="str">
        <f>Texte!B222</f>
        <v>Holzbalkendecke mit Zusatzdämmung 8cm Steinwolle, Verkleidung aussen, Spanplatte innen (BTK)</v>
      </c>
      <c r="C211" s="7" t="s">
        <v>551</v>
      </c>
      <c r="D211" s="77" t="s">
        <v>552</v>
      </c>
      <c r="E211" s="7" t="s">
        <v>242</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267</v>
      </c>
      <c r="S211" s="8" t="s">
        <v>30</v>
      </c>
      <c r="T211" s="8" t="s">
        <v>341</v>
      </c>
      <c r="U211" s="7" t="s">
        <v>651</v>
      </c>
      <c r="W211">
        <f>COUNTIF($A$157:A211,A211)</f>
        <v>13</v>
      </c>
      <c r="X211" t="s">
        <v>2240</v>
      </c>
      <c r="Y211">
        <f t="shared" si="9"/>
        <v>200</v>
      </c>
      <c r="Z211" t="str">
        <f t="shared" si="10"/>
        <v>C41-13</v>
      </c>
      <c r="AB211">
        <v>243</v>
      </c>
      <c r="AC211" t="s">
        <v>2190</v>
      </c>
    </row>
    <row r="212" spans="1:29">
      <c r="A212" s="7" t="s">
        <v>260</v>
      </c>
      <c r="B212" s="7" t="str">
        <f>Texte!B223</f>
        <v>Holz-Beton-Verbunddecke, Nassestrich ohne heruntergeh. Decke (Lignum)</v>
      </c>
      <c r="C212" s="7" t="s">
        <v>515</v>
      </c>
      <c r="D212" s="77" t="s">
        <v>525</v>
      </c>
      <c r="E212" s="7" t="s">
        <v>242</v>
      </c>
      <c r="F212" s="7" t="s">
        <v>30</v>
      </c>
      <c r="G212" s="7">
        <v>60</v>
      </c>
      <c r="H212" s="43">
        <v>2.9027777777777777</v>
      </c>
      <c r="I212" s="43">
        <v>0</v>
      </c>
      <c r="J212" s="43">
        <v>0</v>
      </c>
      <c r="K212" s="47">
        <v>0.85249999999999992</v>
      </c>
      <c r="L212" s="47"/>
      <c r="M212" s="47"/>
      <c r="N212" s="50">
        <v>1554.8</v>
      </c>
      <c r="O212" s="50"/>
      <c r="P212" s="50"/>
      <c r="Q212" s="7" t="s">
        <v>19</v>
      </c>
      <c r="R212" s="7" t="s">
        <v>267</v>
      </c>
      <c r="S212" s="8" t="s">
        <v>30</v>
      </c>
      <c r="T212" s="8" t="s">
        <v>341</v>
      </c>
      <c r="U212" s="7" t="s">
        <v>652</v>
      </c>
      <c r="W212">
        <f>COUNTIF($A$157:A212,A212)</f>
        <v>14</v>
      </c>
      <c r="X212" t="s">
        <v>2241</v>
      </c>
      <c r="Y212">
        <f t="shared" si="9"/>
        <v>201</v>
      </c>
      <c r="Z212" t="str">
        <f t="shared" si="10"/>
        <v>C41-14</v>
      </c>
      <c r="AB212">
        <v>244</v>
      </c>
      <c r="AC212" t="s">
        <v>2191</v>
      </c>
    </row>
    <row r="213" spans="1:29">
      <c r="A213" s="7" t="s">
        <v>260</v>
      </c>
      <c r="B213" s="7" t="str">
        <f>Texte!B224</f>
        <v>Holzkastendecke gedämmt, Trittschalldämmung, Spanplatte (BTK)</v>
      </c>
      <c r="C213" s="7" t="s">
        <v>553</v>
      </c>
      <c r="D213" s="77" t="s">
        <v>554</v>
      </c>
      <c r="E213" s="7" t="s">
        <v>242</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267</v>
      </c>
      <c r="S213" s="8" t="s">
        <v>30</v>
      </c>
      <c r="T213" s="8" t="s">
        <v>341</v>
      </c>
      <c r="U213" s="7" t="s">
        <v>651</v>
      </c>
      <c r="W213">
        <f>COUNTIF($A$157:A213,A213)</f>
        <v>15</v>
      </c>
      <c r="X213" t="s">
        <v>2242</v>
      </c>
      <c r="Y213">
        <f t="shared" si="9"/>
        <v>202</v>
      </c>
      <c r="Z213" t="str">
        <f t="shared" si="10"/>
        <v>C41-15</v>
      </c>
      <c r="AB213">
        <v>245</v>
      </c>
      <c r="AC213" t="s">
        <v>2192</v>
      </c>
    </row>
    <row r="214" spans="1:29">
      <c r="A214" s="8" t="s">
        <v>260</v>
      </c>
      <c r="B214" s="8" t="str">
        <f>Texte!B339</f>
        <v>Innendämmung auf gedämmter Balkendecke zu unbeheizt, 16cm Steinwolle (BTK)</v>
      </c>
      <c r="C214" s="8" t="s">
        <v>459</v>
      </c>
      <c r="D214" s="80" t="s">
        <v>470</v>
      </c>
      <c r="E214" s="8" t="s">
        <v>242</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341</v>
      </c>
      <c r="U214" s="7" t="s">
        <v>651</v>
      </c>
      <c r="W214">
        <f>COUNTIF($A$157:A214,A214)</f>
        <v>16</v>
      </c>
      <c r="X214" t="s">
        <v>2243</v>
      </c>
      <c r="Y214">
        <f t="shared" si="9"/>
        <v>317</v>
      </c>
      <c r="Z214" t="str">
        <f t="shared" si="10"/>
        <v>C41-16</v>
      </c>
      <c r="AB214">
        <v>246</v>
      </c>
      <c r="AC214" t="s">
        <v>2193</v>
      </c>
    </row>
    <row r="215" spans="1:29">
      <c r="A215" s="8" t="s">
        <v>260</v>
      </c>
      <c r="B215" s="8" t="str">
        <f>Texte!B336</f>
        <v>Innendämmung mit Deckenverkleidung unter gedämmter Betondecke zu unbeheizt (BTK)</v>
      </c>
      <c r="C215" s="8" t="s">
        <v>453</v>
      </c>
      <c r="D215" s="80" t="s">
        <v>467</v>
      </c>
      <c r="E215" s="8" t="s">
        <v>242</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341</v>
      </c>
      <c r="U215" s="7" t="s">
        <v>651</v>
      </c>
      <c r="W215">
        <f>COUNTIF($A$157:A215,A215)</f>
        <v>17</v>
      </c>
      <c r="X215" t="s">
        <v>2244</v>
      </c>
      <c r="Y215">
        <f t="shared" si="9"/>
        <v>314</v>
      </c>
      <c r="Z215" t="str">
        <f t="shared" si="10"/>
        <v>C41-17</v>
      </c>
      <c r="AB215">
        <v>247</v>
      </c>
      <c r="AC215" t="s">
        <v>2194</v>
      </c>
    </row>
    <row r="216" spans="1:29">
      <c r="A216" s="8" t="s">
        <v>260</v>
      </c>
      <c r="B216" s="8" t="str">
        <f>Texte!B338</f>
        <v>Innendämmung unter Balkendecke mit Schlackenfüllung zu unbeheizt (BTK)</v>
      </c>
      <c r="C216" s="8" t="s">
        <v>457</v>
      </c>
      <c r="D216" s="80" t="s">
        <v>469</v>
      </c>
      <c r="E216" s="8" t="s">
        <v>242</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341</v>
      </c>
      <c r="U216" s="7" t="s">
        <v>651</v>
      </c>
      <c r="W216">
        <f>COUNTIF($A$157:A216,A216)</f>
        <v>18</v>
      </c>
      <c r="X216" t="s">
        <v>2245</v>
      </c>
      <c r="Y216">
        <f t="shared" si="9"/>
        <v>316</v>
      </c>
      <c r="Z216" t="str">
        <f t="shared" si="10"/>
        <v>C41-18</v>
      </c>
      <c r="AB216">
        <v>248</v>
      </c>
      <c r="AC216" t="s">
        <v>2057</v>
      </c>
    </row>
    <row r="217" spans="1:29">
      <c r="A217" s="8" t="s">
        <v>260</v>
      </c>
      <c r="B217" s="8" t="str">
        <f>Texte!B337</f>
        <v>Kerndämmung Balkendecke zu unbeheizt (BTK)</v>
      </c>
      <c r="C217" s="8" t="s">
        <v>456</v>
      </c>
      <c r="D217" s="80" t="s">
        <v>468</v>
      </c>
      <c r="E217" s="8" t="s">
        <v>242</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341</v>
      </c>
      <c r="U217" s="7" t="s">
        <v>651</v>
      </c>
      <c r="W217">
        <f>COUNTIF($A$157:A217,A217)</f>
        <v>19</v>
      </c>
      <c r="X217" t="s">
        <v>2246</v>
      </c>
      <c r="Y217">
        <f t="shared" si="9"/>
        <v>315</v>
      </c>
      <c r="Z217" t="str">
        <f t="shared" si="10"/>
        <v>C41-19</v>
      </c>
      <c r="AB217">
        <v>249</v>
      </c>
      <c r="AC217" t="s">
        <v>2059</v>
      </c>
    </row>
    <row r="218" spans="1:29">
      <c r="A218" s="7" t="s">
        <v>260</v>
      </c>
      <c r="B218" s="7" t="str">
        <f>Texte!B225</f>
        <v>Massivholzdecke, Nassestrich mit heruntergeh. Decke (Lignum)</v>
      </c>
      <c r="C218" s="7" t="s">
        <v>514</v>
      </c>
      <c r="D218" s="77" t="s">
        <v>524</v>
      </c>
      <c r="E218" s="7" t="s">
        <v>242</v>
      </c>
      <c r="F218" s="7" t="s">
        <v>30</v>
      </c>
      <c r="G218" s="7">
        <v>60</v>
      </c>
      <c r="H218" s="43">
        <v>5.2268518518518521</v>
      </c>
      <c r="I218" s="43">
        <v>0</v>
      </c>
      <c r="J218" s="43">
        <v>0</v>
      </c>
      <c r="K218" s="47">
        <v>1.2495000000000001</v>
      </c>
      <c r="L218" s="47"/>
      <c r="M218" s="47"/>
      <c r="N218" s="50">
        <v>2206.4833333333331</v>
      </c>
      <c r="O218" s="50"/>
      <c r="P218" s="50"/>
      <c r="Q218" s="7" t="s">
        <v>19</v>
      </c>
      <c r="R218" s="7" t="s">
        <v>267</v>
      </c>
      <c r="S218" s="8" t="s">
        <v>30</v>
      </c>
      <c r="T218" s="8" t="s">
        <v>341</v>
      </c>
      <c r="U218" s="7" t="s">
        <v>652</v>
      </c>
      <c r="W218">
        <f>COUNTIF($A$157:A218,A218)</f>
        <v>20</v>
      </c>
      <c r="X218" t="s">
        <v>2247</v>
      </c>
      <c r="Y218">
        <f t="shared" si="9"/>
        <v>203</v>
      </c>
      <c r="Z218" t="str">
        <f t="shared" si="10"/>
        <v>C41-20</v>
      </c>
      <c r="AB218">
        <v>250</v>
      </c>
      <c r="AC218" t="s">
        <v>2058</v>
      </c>
    </row>
    <row r="219" spans="1:29">
      <c r="A219" s="7" t="s">
        <v>260</v>
      </c>
      <c r="B219" s="7" t="str">
        <f>Texte!B226</f>
        <v>Massivholzdecke, Nassestrich ohne heruntergeh. Decke (Lignum)</v>
      </c>
      <c r="C219" s="7" t="s">
        <v>512</v>
      </c>
      <c r="D219" s="77" t="s">
        <v>522</v>
      </c>
      <c r="E219" s="7" t="s">
        <v>242</v>
      </c>
      <c r="F219" s="7" t="s">
        <v>30</v>
      </c>
      <c r="G219" s="7">
        <v>60</v>
      </c>
      <c r="H219" s="43">
        <v>2.4953703703703702</v>
      </c>
      <c r="I219" s="43">
        <v>0</v>
      </c>
      <c r="J219" s="43">
        <v>0</v>
      </c>
      <c r="K219" s="47">
        <v>0.5116666666666666</v>
      </c>
      <c r="L219" s="47"/>
      <c r="M219" s="47"/>
      <c r="N219" s="50">
        <v>1336.6833333333334</v>
      </c>
      <c r="O219" s="50"/>
      <c r="P219" s="50"/>
      <c r="Q219" s="7" t="s">
        <v>19</v>
      </c>
      <c r="R219" s="7" t="s">
        <v>267</v>
      </c>
      <c r="S219" s="8" t="s">
        <v>30</v>
      </c>
      <c r="T219" s="8" t="s">
        <v>341</v>
      </c>
      <c r="U219" s="7" t="s">
        <v>652</v>
      </c>
      <c r="W219">
        <f>COUNTIF($A$157:A219,A219)</f>
        <v>21</v>
      </c>
      <c r="X219" t="s">
        <v>2248</v>
      </c>
      <c r="Y219">
        <f t="shared" si="9"/>
        <v>204</v>
      </c>
      <c r="Z219" t="str">
        <f t="shared" si="10"/>
        <v>C41-21</v>
      </c>
      <c r="AB219">
        <v>251</v>
      </c>
      <c r="AC219" t="s">
        <v>2060</v>
      </c>
    </row>
    <row r="220" spans="1:29">
      <c r="A220" s="7" t="s">
        <v>260</v>
      </c>
      <c r="B220" s="7" t="str">
        <f>Texte!B227</f>
        <v>Massivholzdecke, Trockenestrich mit herunterge. Decke (Lignum)</v>
      </c>
      <c r="C220" s="7" t="s">
        <v>513</v>
      </c>
      <c r="D220" s="77" t="s">
        <v>523</v>
      </c>
      <c r="E220" s="7" t="s">
        <v>242</v>
      </c>
      <c r="F220" s="7" t="s">
        <v>30</v>
      </c>
      <c r="G220" s="7">
        <v>60</v>
      </c>
      <c r="H220" s="43">
        <v>6.2546296296296289</v>
      </c>
      <c r="I220" s="43">
        <v>0</v>
      </c>
      <c r="J220" s="43">
        <v>0</v>
      </c>
      <c r="K220" s="47">
        <v>1.294</v>
      </c>
      <c r="L220" s="47"/>
      <c r="M220" s="47"/>
      <c r="N220" s="50">
        <v>2153.4666666666667</v>
      </c>
      <c r="O220" s="50"/>
      <c r="P220" s="50"/>
      <c r="Q220" s="7" t="s">
        <v>19</v>
      </c>
      <c r="R220" s="7" t="s">
        <v>267</v>
      </c>
      <c r="S220" s="8" t="s">
        <v>30</v>
      </c>
      <c r="T220" s="8" t="s">
        <v>341</v>
      </c>
      <c r="U220" s="7" t="s">
        <v>652</v>
      </c>
      <c r="W220">
        <f>COUNTIF($A$157:A220,A220)</f>
        <v>22</v>
      </c>
      <c r="X220" t="s">
        <v>2249</v>
      </c>
      <c r="Y220">
        <f t="shared" si="9"/>
        <v>205</v>
      </c>
      <c r="Z220" t="str">
        <f t="shared" si="10"/>
        <v>C41-22</v>
      </c>
      <c r="AB220">
        <v>252</v>
      </c>
      <c r="AC220" t="s">
        <v>2061</v>
      </c>
    </row>
    <row r="221" spans="1:29">
      <c r="A221" s="7" t="s">
        <v>260</v>
      </c>
      <c r="B221" s="7" t="str">
        <f>Texte!B228</f>
        <v>Trapezblechdecke mit Beton 18cm, Trittschalldämmung, Unterlagsboden (BTK)</v>
      </c>
      <c r="C221" s="7" t="s">
        <v>547</v>
      </c>
      <c r="D221" s="77" t="s">
        <v>548</v>
      </c>
      <c r="E221" s="7" t="s">
        <v>242</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267</v>
      </c>
      <c r="S221" s="8" t="s">
        <v>30</v>
      </c>
      <c r="T221" s="8" t="s">
        <v>341</v>
      </c>
      <c r="U221" s="7" t="s">
        <v>651</v>
      </c>
      <c r="W221">
        <f>COUNTIF($A$157:A221,A221)</f>
        <v>23</v>
      </c>
      <c r="X221" t="s">
        <v>2250</v>
      </c>
      <c r="Y221">
        <f t="shared" si="9"/>
        <v>206</v>
      </c>
      <c r="Z221" t="str">
        <f t="shared" si="10"/>
        <v>C41-23</v>
      </c>
      <c r="AB221">
        <v>253</v>
      </c>
      <c r="AC221" t="s">
        <v>2062</v>
      </c>
    </row>
    <row r="222" spans="1:29">
      <c r="A222" s="8" t="s">
        <v>260</v>
      </c>
      <c r="B222" s="7" t="str">
        <f>Texte!B306</f>
        <v>Betondecke 25 cm mit Innenputz (SIA 2032)</v>
      </c>
      <c r="C222" s="8"/>
      <c r="D222" s="75"/>
      <c r="E222" s="8" t="s">
        <v>242</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267</v>
      </c>
      <c r="S222" s="8" t="s">
        <v>30</v>
      </c>
      <c r="T222" s="8" t="s">
        <v>341</v>
      </c>
      <c r="U222" s="7" t="s">
        <v>761</v>
      </c>
      <c r="W222">
        <f>COUNTIF($A$157:A222,A222)</f>
        <v>24</v>
      </c>
      <c r="X222" t="s">
        <v>2297</v>
      </c>
      <c r="Y222">
        <f t="shared" ref="Y222:Y285" si="23">IFERROR(RIGHT(X222,3)*1,"")</f>
        <v>284</v>
      </c>
      <c r="Z222" t="str">
        <f t="shared" ref="Z222:Z285" si="24">IF(Y222&lt;&gt;"",RIGHT(A222,LEN(A222)-SEARCH("_",A222,3))&amp;"-"&amp;W222,"")</f>
        <v>C41-24</v>
      </c>
      <c r="AB222">
        <v>254</v>
      </c>
      <c r="AC222" t="s">
        <v>2063</v>
      </c>
    </row>
    <row r="223" spans="1:29">
      <c r="A223" s="8" t="s">
        <v>260</v>
      </c>
      <c r="B223" s="7" t="str">
        <f>Texte!B308</f>
        <v>Holzbetonverbund (mit unterer Gipsbekleidung) (SIA 2032)</v>
      </c>
      <c r="C223" s="8"/>
      <c r="D223" s="75"/>
      <c r="E223" s="8" t="s">
        <v>242</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267</v>
      </c>
      <c r="S223" s="8" t="s">
        <v>30</v>
      </c>
      <c r="T223" s="8" t="s">
        <v>341</v>
      </c>
      <c r="U223" s="7" t="s">
        <v>761</v>
      </c>
      <c r="W223">
        <f>COUNTIF($A$157:A223,A223)</f>
        <v>25</v>
      </c>
      <c r="X223" t="s">
        <v>2298</v>
      </c>
      <c r="Y223">
        <f t="shared" si="23"/>
        <v>286</v>
      </c>
      <c r="Z223" t="str">
        <f t="shared" si="24"/>
        <v>C41-25</v>
      </c>
      <c r="AB223">
        <v>255</v>
      </c>
      <c r="AC223" t="s">
        <v>2068</v>
      </c>
    </row>
    <row r="224" spans="1:29">
      <c r="A224" s="8" t="s">
        <v>260</v>
      </c>
      <c r="B224" s="7" t="str">
        <f>Texte!B307</f>
        <v>Holzelementdecke (mit unterer Gipsbekleidung) (SIA 2032)</v>
      </c>
      <c r="C224" s="8"/>
      <c r="D224" s="75"/>
      <c r="E224" s="8" t="s">
        <v>242</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267</v>
      </c>
      <c r="S224" s="8" t="s">
        <v>30</v>
      </c>
      <c r="T224" s="8" t="s">
        <v>341</v>
      </c>
      <c r="U224" s="7" t="s">
        <v>761</v>
      </c>
      <c r="W224">
        <f>COUNTIF($A$157:A224,A224)</f>
        <v>26</v>
      </c>
      <c r="X224" t="s">
        <v>2299</v>
      </c>
      <c r="Y224">
        <f t="shared" si="23"/>
        <v>285</v>
      </c>
      <c r="Z224" t="str">
        <f t="shared" si="24"/>
        <v>C41-26</v>
      </c>
      <c r="AB224">
        <v>256</v>
      </c>
      <c r="AC224" t="s">
        <v>2067</v>
      </c>
    </row>
    <row r="225" spans="1:29">
      <c r="A225" s="8" t="s">
        <v>1661</v>
      </c>
      <c r="B225" s="7" t="str">
        <f>Texte!B313</f>
        <v>Balkon inkl. Absturzsicherung (SIA 2032)</v>
      </c>
      <c r="C225" s="8"/>
      <c r="D225" s="75"/>
      <c r="E225" s="8" t="s">
        <v>242</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341</v>
      </c>
      <c r="U225" s="7" t="s">
        <v>761</v>
      </c>
      <c r="W225">
        <f>COUNTIF($A$157:A225,A225)</f>
        <v>1</v>
      </c>
      <c r="X225" t="s">
        <v>2300</v>
      </c>
      <c r="Y225">
        <f t="shared" si="23"/>
        <v>291</v>
      </c>
      <c r="Z225" t="str">
        <f t="shared" si="24"/>
        <v>C43-1</v>
      </c>
      <c r="AB225">
        <v>257</v>
      </c>
      <c r="AC225" t="s">
        <v>2072</v>
      </c>
    </row>
    <row r="226" spans="1:29">
      <c r="A226" s="8" t="s">
        <v>258</v>
      </c>
      <c r="B226" s="8" t="str">
        <f>Texte!B343</f>
        <v>Aussensanierung ungedämmtes Steildach (BTK)</v>
      </c>
      <c r="C226" s="8" t="s">
        <v>454</v>
      </c>
      <c r="D226" s="80" t="s">
        <v>474</v>
      </c>
      <c r="E226" s="8" t="s">
        <v>242</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341</v>
      </c>
      <c r="U226" s="7" t="s">
        <v>651</v>
      </c>
      <c r="W226">
        <f>COUNTIF($A$157:A226,A226)</f>
        <v>1</v>
      </c>
      <c r="X226" t="s">
        <v>2251</v>
      </c>
      <c r="Y226">
        <f t="shared" si="23"/>
        <v>321</v>
      </c>
      <c r="Z226" t="str">
        <f t="shared" si="24"/>
        <v>C44-1</v>
      </c>
      <c r="AB226">
        <v>258</v>
      </c>
      <c r="AC226" t="s">
        <v>2071</v>
      </c>
    </row>
    <row r="227" spans="1:29">
      <c r="A227" s="8" t="s">
        <v>258</v>
      </c>
      <c r="B227" s="8" t="str">
        <f>Texte!B340</f>
        <v>Doppeldach auf Betondecke (BTK)</v>
      </c>
      <c r="C227" s="8" t="s">
        <v>449</v>
      </c>
      <c r="D227" s="80" t="s">
        <v>471</v>
      </c>
      <c r="E227" s="8" t="s">
        <v>242</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341</v>
      </c>
      <c r="U227" s="7" t="s">
        <v>651</v>
      </c>
      <c r="W227">
        <f>COUNTIF($A$157:A227,A227)</f>
        <v>2</v>
      </c>
      <c r="X227" t="s">
        <v>2252</v>
      </c>
      <c r="Y227">
        <f t="shared" si="23"/>
        <v>318</v>
      </c>
      <c r="Z227" t="str">
        <f t="shared" si="24"/>
        <v>C44-2</v>
      </c>
      <c r="AB227">
        <v>276</v>
      </c>
      <c r="AC227" t="s">
        <v>2195</v>
      </c>
    </row>
    <row r="228" spans="1:29">
      <c r="A228" s="8" t="s">
        <v>258</v>
      </c>
      <c r="B228" s="8" t="str">
        <f>Texte!B342</f>
        <v>Doppeldach begehbar auf Betondecke (BTK)</v>
      </c>
      <c r="C228" s="8" t="s">
        <v>451</v>
      </c>
      <c r="D228" s="80" t="s">
        <v>473</v>
      </c>
      <c r="E228" s="8" t="s">
        <v>242</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341</v>
      </c>
      <c r="U228" s="7" t="s">
        <v>651</v>
      </c>
      <c r="W228">
        <f>COUNTIF($A$157:A228,A228)</f>
        <v>3</v>
      </c>
      <c r="X228" t="s">
        <v>2253</v>
      </c>
      <c r="Y228">
        <f t="shared" si="23"/>
        <v>320</v>
      </c>
      <c r="Z228" t="str">
        <f t="shared" si="24"/>
        <v>C44-3</v>
      </c>
      <c r="AB228">
        <v>282</v>
      </c>
      <c r="AC228" t="s">
        <v>2110</v>
      </c>
    </row>
    <row r="229" spans="1:29">
      <c r="A229" s="8" t="s">
        <v>258</v>
      </c>
      <c r="B229" s="8" t="str">
        <f>Texte!B344</f>
        <v>Kernsanierung ungedämmtes Steildach (BTK)</v>
      </c>
      <c r="C229" s="8" t="s">
        <v>455</v>
      </c>
      <c r="D229" s="80" t="s">
        <v>475</v>
      </c>
      <c r="E229" s="8" t="s">
        <v>242</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341</v>
      </c>
      <c r="U229" s="7" t="s">
        <v>651</v>
      </c>
      <c r="W229">
        <f>COUNTIF($A$157:A229,A229)</f>
        <v>4</v>
      </c>
      <c r="X229" t="s">
        <v>2254</v>
      </c>
      <c r="Y229">
        <f t="shared" si="23"/>
        <v>322</v>
      </c>
      <c r="Z229" t="str">
        <f t="shared" si="24"/>
        <v>C44-4</v>
      </c>
      <c r="AB229">
        <v>283</v>
      </c>
      <c r="AC229" t="s">
        <v>2109</v>
      </c>
    </row>
    <row r="230" spans="1:29">
      <c r="A230" s="8" t="s">
        <v>258</v>
      </c>
      <c r="B230" s="8" t="str">
        <f>Texte!B341</f>
        <v>Umkehrdach / Plusdach auf Betondecke, 22cm XPS (BTK)</v>
      </c>
      <c r="C230" s="8" t="s">
        <v>450</v>
      </c>
      <c r="D230" s="80" t="s">
        <v>472</v>
      </c>
      <c r="E230" s="8" t="s">
        <v>242</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341</v>
      </c>
      <c r="U230" s="7" t="s">
        <v>651</v>
      </c>
      <c r="W230">
        <f>COUNTIF($A$157:A230,A230)</f>
        <v>5</v>
      </c>
      <c r="X230" t="s">
        <v>2255</v>
      </c>
      <c r="Y230">
        <f t="shared" si="23"/>
        <v>319</v>
      </c>
      <c r="Z230" t="str">
        <f t="shared" si="24"/>
        <v>C44-5</v>
      </c>
      <c r="AB230">
        <v>284</v>
      </c>
      <c r="AC230" t="s">
        <v>2324</v>
      </c>
    </row>
    <row r="231" spans="1:29">
      <c r="A231" s="8" t="s">
        <v>258</v>
      </c>
      <c r="B231" s="7" t="str">
        <f>B85</f>
        <v>Betondecke 25 cm mit Innenputz, gedämmt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341</v>
      </c>
      <c r="U231" s="7" t="s">
        <v>761</v>
      </c>
      <c r="W231">
        <f>COUNTIF($A$157:A231,A231)</f>
        <v>6</v>
      </c>
      <c r="X231" t="s">
        <v>2256</v>
      </c>
      <c r="Y231" t="str">
        <f t="shared" si="23"/>
        <v/>
      </c>
      <c r="Z231" t="str">
        <f t="shared" si="24"/>
        <v/>
      </c>
      <c r="AB231">
        <v>285</v>
      </c>
      <c r="AC231" t="s">
        <v>2326</v>
      </c>
    </row>
    <row r="232" spans="1:29">
      <c r="A232" s="8" t="s">
        <v>258</v>
      </c>
      <c r="B232" s="7" t="str">
        <f>B86</f>
        <v>Betondecke 40 cm mit Innenputz, gedämmt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341</v>
      </c>
      <c r="U232" s="7" t="s">
        <v>761</v>
      </c>
      <c r="W232">
        <f>COUNTIF($A$157:A232,A232)</f>
        <v>7</v>
      </c>
      <c r="X232" t="s">
        <v>2257</v>
      </c>
      <c r="Y232" t="str">
        <f t="shared" si="23"/>
        <v/>
      </c>
      <c r="Z232" t="str">
        <f t="shared" si="24"/>
        <v/>
      </c>
      <c r="AB232">
        <v>286</v>
      </c>
      <c r="AC232" t="s">
        <v>2325</v>
      </c>
    </row>
    <row r="233" spans="1:29">
      <c r="A233" s="8" t="s">
        <v>258</v>
      </c>
      <c r="B233" s="7" t="str">
        <f t="shared" ref="B233:B234" si="27">B87</f>
        <v>Dach unter Terrain gedämmt (SIA 2032)</v>
      </c>
      <c r="C233" s="8"/>
      <c r="D233" s="75"/>
      <c r="E233" s="8" t="s">
        <v>242</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341</v>
      </c>
      <c r="U233" s="7" t="s">
        <v>761</v>
      </c>
      <c r="W233">
        <f>COUNTIF($A$157:A233,A233)</f>
        <v>8</v>
      </c>
      <c r="X233" t="s">
        <v>2301</v>
      </c>
      <c r="Y233" t="str">
        <f t="shared" si="23"/>
        <v/>
      </c>
      <c r="Z233" t="str">
        <f t="shared" si="24"/>
        <v/>
      </c>
      <c r="AB233">
        <v>287</v>
      </c>
      <c r="AC233" t="s">
        <v>2198</v>
      </c>
    </row>
    <row r="234" spans="1:29">
      <c r="A234" s="8" t="s">
        <v>258</v>
      </c>
      <c r="B234" s="7" t="str">
        <f t="shared" si="27"/>
        <v>Dach unter Terrain ungedämmt (SIA 2032)</v>
      </c>
      <c r="C234" s="8"/>
      <c r="D234" s="75"/>
      <c r="E234" s="8" t="s">
        <v>242</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341</v>
      </c>
      <c r="U234" s="7" t="s">
        <v>761</v>
      </c>
      <c r="W234">
        <f>COUNTIF($A$157:A234,A234)</f>
        <v>9</v>
      </c>
      <c r="X234" t="s">
        <v>2302</v>
      </c>
      <c r="Y234" t="str">
        <f t="shared" si="23"/>
        <v/>
      </c>
      <c r="Z234" t="str">
        <f t="shared" si="24"/>
        <v/>
      </c>
      <c r="AB234">
        <v>288</v>
      </c>
      <c r="AC234" t="s">
        <v>2199</v>
      </c>
    </row>
    <row r="235" spans="1:29">
      <c r="A235" s="8" t="s">
        <v>258</v>
      </c>
      <c r="B235" s="7" t="str">
        <f>B96</f>
        <v>Holzdecke mit unterer Gipsbekleidung, gedämmt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341</v>
      </c>
      <c r="U235" s="7" t="s">
        <v>761</v>
      </c>
      <c r="W235">
        <f>COUNTIF($A$157:A235,A235)</f>
        <v>10</v>
      </c>
      <c r="X235" t="s">
        <v>2258</v>
      </c>
      <c r="Y235" t="str">
        <f t="shared" si="23"/>
        <v/>
      </c>
      <c r="Z235" t="str">
        <f t="shared" si="24"/>
        <v/>
      </c>
      <c r="AB235">
        <v>289</v>
      </c>
      <c r="AC235" t="s">
        <v>2197</v>
      </c>
    </row>
    <row r="236" spans="1:29">
      <c r="A236" s="8" t="s">
        <v>258</v>
      </c>
      <c r="B236" s="7" t="str">
        <f t="shared" ref="B236:Q238" si="29">B97</f>
        <v>Holzkonstruktion geneigtes Dach, gedämmt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341</v>
      </c>
      <c r="U236" s="7" t="s">
        <v>761</v>
      </c>
      <c r="W236">
        <f>COUNTIF($A$157:A236,A236)</f>
        <v>11</v>
      </c>
      <c r="X236" t="s">
        <v>2259</v>
      </c>
      <c r="Y236" t="str">
        <f t="shared" si="23"/>
        <v/>
      </c>
      <c r="Z236" t="str">
        <f t="shared" si="24"/>
        <v/>
      </c>
      <c r="AB236">
        <v>290</v>
      </c>
      <c r="AC236" t="s">
        <v>2196</v>
      </c>
    </row>
    <row r="237" spans="1:29">
      <c r="A237" s="8" t="s">
        <v>258</v>
      </c>
      <c r="B237" s="7" t="str">
        <f t="shared" si="29"/>
        <v>Holzkonstruktion geneigtes Dach, ungedämmt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341</v>
      </c>
      <c r="U237" s="7" t="s">
        <v>761</v>
      </c>
      <c r="W237">
        <f>COUNTIF($A$157:A237,A237)</f>
        <v>12</v>
      </c>
      <c r="X237" t="s">
        <v>2260</v>
      </c>
      <c r="Y237" t="str">
        <f t="shared" si="23"/>
        <v/>
      </c>
      <c r="Z237" t="str">
        <f t="shared" si="24"/>
        <v/>
      </c>
      <c r="AB237">
        <v>291</v>
      </c>
      <c r="AC237" t="s">
        <v>2132</v>
      </c>
    </row>
    <row r="238" spans="1:29">
      <c r="A238" s="8" t="s">
        <v>258</v>
      </c>
      <c r="B238" s="7" t="str">
        <f t="shared" si="29"/>
        <v>Profilblech Verbunddecke, gedämmt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341</v>
      </c>
      <c r="U238" s="7" t="s">
        <v>761</v>
      </c>
      <c r="W238">
        <f>COUNTIF($A$157:A238,A238)</f>
        <v>13</v>
      </c>
      <c r="X238" t="s">
        <v>2261</v>
      </c>
      <c r="Y238" t="str">
        <f t="shared" si="23"/>
        <v/>
      </c>
      <c r="Z238" t="str">
        <f t="shared" si="24"/>
        <v/>
      </c>
      <c r="AB238">
        <v>292</v>
      </c>
      <c r="AC238" t="s">
        <v>2179</v>
      </c>
    </row>
    <row r="239" spans="1:29">
      <c r="A239" s="7" t="s">
        <v>689</v>
      </c>
      <c r="B239" s="7" t="str">
        <f>Texte!B238</f>
        <v>Abluftanlage Wohnen, Küche und Bad (KBOB)</v>
      </c>
      <c r="C239" s="7" t="s">
        <v>678</v>
      </c>
      <c r="D239" s="78" t="s">
        <v>659</v>
      </c>
      <c r="E239" s="7" t="s">
        <v>246</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268</v>
      </c>
      <c r="S239" s="8" t="s">
        <v>30</v>
      </c>
      <c r="T239" s="8" t="s">
        <v>2348</v>
      </c>
      <c r="U239" s="7" t="s">
        <v>657</v>
      </c>
      <c r="W239">
        <f>COUNTIF($A$157:A239,A239)</f>
        <v>1</v>
      </c>
      <c r="X239" t="s">
        <v>2262</v>
      </c>
      <c r="Y239">
        <f t="shared" si="23"/>
        <v>216</v>
      </c>
      <c r="Z239" t="str">
        <f t="shared" si="24"/>
        <v>D-1</v>
      </c>
      <c r="AB239">
        <v>293</v>
      </c>
      <c r="AC239" t="s">
        <v>2178</v>
      </c>
    </row>
    <row r="240" spans="1:29">
      <c r="A240" s="7" t="s">
        <v>689</v>
      </c>
      <c r="B240" s="7" t="str">
        <f>Texte!B239</f>
        <v>Elektroanlagen Büro (KBOB)</v>
      </c>
      <c r="C240" s="41" t="s">
        <v>683</v>
      </c>
      <c r="D240" s="78" t="s">
        <v>659</v>
      </c>
      <c r="E240" s="7" t="s">
        <v>246</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268</v>
      </c>
      <c r="S240" s="8" t="s">
        <v>30</v>
      </c>
      <c r="T240" s="8" t="s">
        <v>2349</v>
      </c>
      <c r="U240" s="7" t="s">
        <v>657</v>
      </c>
      <c r="W240">
        <f>COUNTIF($A$157:A240,A240)</f>
        <v>2</v>
      </c>
      <c r="X240" t="s">
        <v>2263</v>
      </c>
      <c r="Y240">
        <f t="shared" si="23"/>
        <v>217</v>
      </c>
      <c r="Z240" t="str">
        <f t="shared" si="24"/>
        <v>D-2</v>
      </c>
      <c r="AB240">
        <v>294</v>
      </c>
      <c r="AC240" t="s">
        <v>2186</v>
      </c>
    </row>
    <row r="241" spans="1:29">
      <c r="A241" s="7" t="s">
        <v>689</v>
      </c>
      <c r="B241" s="7" t="str">
        <f>Texte!B240</f>
        <v>Elektroanlagen Wohnen (KBOB)</v>
      </c>
      <c r="C241" s="41" t="s">
        <v>682</v>
      </c>
      <c r="D241" s="78" t="s">
        <v>659</v>
      </c>
      <c r="E241" s="7" t="s">
        <v>246</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268</v>
      </c>
      <c r="S241" s="8" t="s">
        <v>30</v>
      </c>
      <c r="T241" s="8" t="s">
        <v>2349</v>
      </c>
      <c r="U241" s="7" t="s">
        <v>657</v>
      </c>
      <c r="W241">
        <f>COUNTIF($A$157:A241,A241)</f>
        <v>3</v>
      </c>
      <c r="X241" t="s">
        <v>2264</v>
      </c>
      <c r="Y241">
        <f t="shared" si="23"/>
        <v>218</v>
      </c>
      <c r="Z241" t="str">
        <f t="shared" si="24"/>
        <v>D-3</v>
      </c>
      <c r="AB241">
        <v>295</v>
      </c>
      <c r="AC241" t="s">
        <v>2187</v>
      </c>
    </row>
    <row r="242" spans="1:29">
      <c r="A242" s="7" t="s">
        <v>689</v>
      </c>
      <c r="B242" s="7" t="str">
        <f>Texte!B241</f>
        <v>Erdsonden, für Sole-Wasser-Wärmepumpe (KBOB)</v>
      </c>
      <c r="C242" s="7" t="s">
        <v>669</v>
      </c>
      <c r="D242" s="78" t="s">
        <v>659</v>
      </c>
      <c r="E242" s="7" t="s">
        <v>655</v>
      </c>
      <c r="F242" s="7" t="s">
        <v>180</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1732</v>
      </c>
      <c r="S242" s="8" t="s">
        <v>180</v>
      </c>
      <c r="T242" s="8" t="s">
        <v>2351</v>
      </c>
      <c r="U242" s="7" t="s">
        <v>657</v>
      </c>
      <c r="W242">
        <f>COUNTIF($A$157:A242,A242)</f>
        <v>4</v>
      </c>
      <c r="X242" t="s">
        <v>2265</v>
      </c>
      <c r="Y242">
        <f t="shared" si="23"/>
        <v>219</v>
      </c>
      <c r="Z242" t="str">
        <f t="shared" si="24"/>
        <v>D-4</v>
      </c>
      <c r="AB242">
        <v>296</v>
      </c>
      <c r="AC242" t="s">
        <v>2189</v>
      </c>
    </row>
    <row r="243" spans="1:29">
      <c r="A243" s="7" t="s">
        <v>689</v>
      </c>
      <c r="B243" s="7" t="str">
        <f>Texte!B242</f>
        <v>Flachkollektor für Raumheizung und Warmwasser EFH (KBOB)</v>
      </c>
      <c r="C243" s="7" t="s">
        <v>671</v>
      </c>
      <c r="D243" s="78" t="s">
        <v>659</v>
      </c>
      <c r="E243" s="7" t="s">
        <v>656</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2352</v>
      </c>
      <c r="U243" s="7" t="s">
        <v>657</v>
      </c>
      <c r="W243">
        <f>COUNTIF($A$157:A243,A243)</f>
        <v>5</v>
      </c>
      <c r="X243" t="s">
        <v>2266</v>
      </c>
      <c r="Y243">
        <f t="shared" si="23"/>
        <v>220</v>
      </c>
      <c r="Z243" t="str">
        <f t="shared" si="24"/>
        <v>D-5</v>
      </c>
      <c r="AB243">
        <v>297</v>
      </c>
      <c r="AC243" t="s">
        <v>2188</v>
      </c>
    </row>
    <row r="244" spans="1:29">
      <c r="A244" s="7" t="s">
        <v>689</v>
      </c>
      <c r="B244" s="7" t="str">
        <f>Texte!B243</f>
        <v>Flachkollektor für Warmwasser EFH (KBOB)</v>
      </c>
      <c r="C244" s="7" t="s">
        <v>670</v>
      </c>
      <c r="D244" s="78" t="s">
        <v>659</v>
      </c>
      <c r="E244" s="7" t="s">
        <v>656</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2352</v>
      </c>
      <c r="U244" s="7" t="s">
        <v>657</v>
      </c>
      <c r="W244">
        <f>COUNTIF($A$157:A244,A244)</f>
        <v>6</v>
      </c>
      <c r="X244" t="s">
        <v>2267</v>
      </c>
      <c r="Y244">
        <f t="shared" si="23"/>
        <v>221</v>
      </c>
      <c r="Z244" t="str">
        <f t="shared" si="24"/>
        <v>D-6</v>
      </c>
      <c r="AB244">
        <v>298</v>
      </c>
      <c r="AC244" t="s">
        <v>2180</v>
      </c>
    </row>
    <row r="245" spans="1:29">
      <c r="A245" s="7" t="s">
        <v>689</v>
      </c>
      <c r="B245" s="7" t="str">
        <f>Texte!B244</f>
        <v>Flachkollektor für Warmwasser MFH (KBOB)</v>
      </c>
      <c r="C245" s="7" t="s">
        <v>672</v>
      </c>
      <c r="D245" s="78" t="s">
        <v>659</v>
      </c>
      <c r="E245" s="7" t="s">
        <v>656</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2352</v>
      </c>
      <c r="U245" s="7" t="s">
        <v>657</v>
      </c>
      <c r="W245">
        <f>COUNTIF($A$157:A245,A245)</f>
        <v>7</v>
      </c>
      <c r="X245" t="s">
        <v>2268</v>
      </c>
      <c r="Y245">
        <f t="shared" si="23"/>
        <v>222</v>
      </c>
      <c r="Z245" t="str">
        <f t="shared" si="24"/>
        <v>D-7</v>
      </c>
      <c r="AB245">
        <v>299</v>
      </c>
      <c r="AC245" t="s">
        <v>2185</v>
      </c>
    </row>
    <row r="246" spans="1:29">
      <c r="A246" s="7" t="s">
        <v>689</v>
      </c>
      <c r="B246" s="7" t="str">
        <f>Texte!B245</f>
        <v>Lüftungsanlage Büro (4 m3/h*m2) (KBOB)</v>
      </c>
      <c r="C246" s="7" t="s">
        <v>673</v>
      </c>
      <c r="D246" s="78" t="s">
        <v>659</v>
      </c>
      <c r="E246" s="7" t="s">
        <v>246</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268</v>
      </c>
      <c r="S246" s="8" t="s">
        <v>30</v>
      </c>
      <c r="T246" s="8" t="s">
        <v>2348</v>
      </c>
      <c r="U246" s="7" t="s">
        <v>657</v>
      </c>
      <c r="W246">
        <f>COUNTIF($A$157:A246,A246)</f>
        <v>8</v>
      </c>
      <c r="X246" t="s">
        <v>2269</v>
      </c>
      <c r="Y246">
        <f t="shared" si="23"/>
        <v>223</v>
      </c>
      <c r="Z246" t="str">
        <f t="shared" si="24"/>
        <v>D-8</v>
      </c>
      <c r="AB246">
        <v>300</v>
      </c>
      <c r="AC246" t="s">
        <v>2177</v>
      </c>
    </row>
    <row r="247" spans="1:29">
      <c r="A247" s="7" t="s">
        <v>689</v>
      </c>
      <c r="B247" s="7" t="str">
        <f>Texte!B246</f>
        <v>Lüftungsanlage Schule, Versammlung (8 m3/h*m2) (KBOB)</v>
      </c>
      <c r="C247" s="7" t="s">
        <v>675</v>
      </c>
      <c r="D247" s="78" t="s">
        <v>659</v>
      </c>
      <c r="E247" s="7" t="s">
        <v>246</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268</v>
      </c>
      <c r="S247" s="8" t="s">
        <v>30</v>
      </c>
      <c r="T247" s="8" t="s">
        <v>2348</v>
      </c>
      <c r="U247" s="7" t="s">
        <v>657</v>
      </c>
      <c r="W247">
        <f>COUNTIF($A$157:A247,A247)</f>
        <v>9</v>
      </c>
      <c r="X247" t="s">
        <v>2270</v>
      </c>
      <c r="Y247">
        <f t="shared" si="23"/>
        <v>224</v>
      </c>
      <c r="Z247" t="str">
        <f t="shared" si="24"/>
        <v>D-9</v>
      </c>
      <c r="AB247">
        <v>301</v>
      </c>
      <c r="AC247" t="s">
        <v>2182</v>
      </c>
    </row>
    <row r="248" spans="1:29">
      <c r="A248" s="7" t="s">
        <v>689</v>
      </c>
      <c r="B248" s="7" t="str">
        <f>Texte!B247</f>
        <v>Lüftungsanlage Wohnen, Blechkanäle, inkl. Küchenabluft (KBOB)</v>
      </c>
      <c r="C248" s="7" t="s">
        <v>676</v>
      </c>
      <c r="D248" s="78" t="s">
        <v>659</v>
      </c>
      <c r="E248" s="7" t="s">
        <v>246</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268</v>
      </c>
      <c r="S248" s="8" t="s">
        <v>30</v>
      </c>
      <c r="T248" s="8" t="s">
        <v>2348</v>
      </c>
      <c r="U248" s="7" t="s">
        <v>657</v>
      </c>
      <c r="W248">
        <f>COUNTIF($A$157:A248,A248)</f>
        <v>10</v>
      </c>
      <c r="X248" t="s">
        <v>2271</v>
      </c>
      <c r="Y248">
        <f t="shared" si="23"/>
        <v>225</v>
      </c>
      <c r="Z248" t="str">
        <f t="shared" si="24"/>
        <v>D-10</v>
      </c>
      <c r="AB248">
        <v>302</v>
      </c>
      <c r="AC248" t="s">
        <v>2181</v>
      </c>
    </row>
    <row r="249" spans="1:29">
      <c r="A249" s="7" t="s">
        <v>689</v>
      </c>
      <c r="B249" s="7" t="str">
        <f>Texte!B248</f>
        <v>Lüftungsanlage Wohnen, PE-Kanäle, inkl. Küchenabluft (KBOB)</v>
      </c>
      <c r="C249" s="7" t="s">
        <v>677</v>
      </c>
      <c r="D249" s="78" t="s">
        <v>659</v>
      </c>
      <c r="E249" s="7" t="s">
        <v>246</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268</v>
      </c>
      <c r="S249" s="8" t="s">
        <v>30</v>
      </c>
      <c r="T249" s="8" t="s">
        <v>2348</v>
      </c>
      <c r="U249" s="7" t="s">
        <v>657</v>
      </c>
      <c r="W249">
        <f>COUNTIF($A$157:A249,A249)</f>
        <v>11</v>
      </c>
      <c r="X249" t="s">
        <v>2272</v>
      </c>
      <c r="Y249">
        <f t="shared" si="23"/>
        <v>226</v>
      </c>
      <c r="Z249" t="str">
        <f t="shared" si="24"/>
        <v>D-11</v>
      </c>
      <c r="AB249">
        <v>303</v>
      </c>
      <c r="AC249" t="s">
        <v>2184</v>
      </c>
    </row>
    <row r="250" spans="1:29">
      <c r="A250" s="7" t="s">
        <v>689</v>
      </c>
      <c r="B250" s="7" t="str">
        <f>Texte!B249</f>
        <v>Lüftungsanlage, spez. Luftmenge 6 m3/hm2 EBF (KBOB)</v>
      </c>
      <c r="C250" s="7" t="s">
        <v>674</v>
      </c>
      <c r="D250" s="78" t="s">
        <v>659</v>
      </c>
      <c r="E250" s="7" t="s">
        <v>246</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268</v>
      </c>
      <c r="S250" s="8" t="s">
        <v>30</v>
      </c>
      <c r="T250" s="8" t="s">
        <v>2348</v>
      </c>
      <c r="U250" s="7" t="s">
        <v>657</v>
      </c>
      <c r="W250">
        <f>COUNTIF($A$157:A250,A250)</f>
        <v>12</v>
      </c>
      <c r="X250" t="s">
        <v>2273</v>
      </c>
      <c r="Y250">
        <f t="shared" si="23"/>
        <v>227</v>
      </c>
      <c r="Z250" t="str">
        <f t="shared" si="24"/>
        <v>D-12</v>
      </c>
      <c r="AB250">
        <v>304</v>
      </c>
      <c r="AC250" t="s">
        <v>2183</v>
      </c>
    </row>
    <row r="251" spans="1:29">
      <c r="A251" s="7" t="s">
        <v>689</v>
      </c>
      <c r="B251" s="7" t="str">
        <f>Texte!B250</f>
        <v>Sanitäranlagen, Büro, aufwändig, inkl. Apparate und Leitungen (KBOB)</v>
      </c>
      <c r="C251" s="7" t="s">
        <v>680</v>
      </c>
      <c r="D251" s="78" t="s">
        <v>659</v>
      </c>
      <c r="E251" s="7" t="s">
        <v>246</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268</v>
      </c>
      <c r="S251" s="8" t="s">
        <v>30</v>
      </c>
      <c r="T251" s="8" t="s">
        <v>2350</v>
      </c>
      <c r="U251" s="7" t="s">
        <v>657</v>
      </c>
      <c r="W251">
        <f>COUNTIF($A$157:A251,A251)</f>
        <v>13</v>
      </c>
      <c r="X251" t="s">
        <v>2274</v>
      </c>
      <c r="Y251">
        <f t="shared" si="23"/>
        <v>228</v>
      </c>
      <c r="Z251" t="str">
        <f t="shared" si="24"/>
        <v>D-13</v>
      </c>
      <c r="AB251">
        <v>308</v>
      </c>
      <c r="AC251" t="s">
        <v>2066</v>
      </c>
    </row>
    <row r="252" spans="1:29">
      <c r="A252" s="7" t="s">
        <v>689</v>
      </c>
      <c r="B252" s="7" t="str">
        <f>Texte!B251</f>
        <v>Sanitäranlagen, Büro, einfach, inkl. Apparate und Leitungen (KBOB)</v>
      </c>
      <c r="C252" s="7" t="s">
        <v>679</v>
      </c>
      <c r="D252" s="78" t="s">
        <v>659</v>
      </c>
      <c r="E252" s="7" t="s">
        <v>246</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268</v>
      </c>
      <c r="S252" s="8" t="s">
        <v>30</v>
      </c>
      <c r="T252" s="8" t="s">
        <v>2350</v>
      </c>
      <c r="U252" s="7" t="s">
        <v>657</v>
      </c>
      <c r="W252">
        <f>COUNTIF($A$157:A252,A252)</f>
        <v>14</v>
      </c>
      <c r="X252" t="s">
        <v>2275</v>
      </c>
      <c r="Y252">
        <f t="shared" si="23"/>
        <v>229</v>
      </c>
      <c r="Z252" t="str">
        <f t="shared" si="24"/>
        <v>D-14</v>
      </c>
      <c r="AB252">
        <v>309</v>
      </c>
      <c r="AC252" t="s">
        <v>2079</v>
      </c>
    </row>
    <row r="253" spans="1:29">
      <c r="A253" s="7" t="s">
        <v>689</v>
      </c>
      <c r="B253" s="7" t="str">
        <f>Texte!B252</f>
        <v>Sanitäranlagen, Wohnen, inkl. Apparate und Leitungen (KBOB)</v>
      </c>
      <c r="C253" s="7" t="s">
        <v>681</v>
      </c>
      <c r="D253" s="78" t="s">
        <v>659</v>
      </c>
      <c r="E253" s="7" t="s">
        <v>246</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268</v>
      </c>
      <c r="S253" s="8" t="s">
        <v>30</v>
      </c>
      <c r="T253" s="8" t="s">
        <v>2350</v>
      </c>
      <c r="U253" s="7" t="s">
        <v>657</v>
      </c>
      <c r="W253">
        <f>COUNTIF($A$157:A253,A253)</f>
        <v>15</v>
      </c>
      <c r="X253" t="s">
        <v>2276</v>
      </c>
      <c r="Y253">
        <f t="shared" si="23"/>
        <v>230</v>
      </c>
      <c r="Z253" t="str">
        <f t="shared" si="24"/>
        <v>D-15</v>
      </c>
      <c r="AB253">
        <v>310</v>
      </c>
      <c r="AC253" t="s">
        <v>2077</v>
      </c>
    </row>
    <row r="254" spans="1:29">
      <c r="A254" s="7" t="s">
        <v>689</v>
      </c>
      <c r="B254" s="7" t="str">
        <f>Texte!B253</f>
        <v>Solarstromanlage Fassade (KBOB)</v>
      </c>
      <c r="C254" s="41" t="s">
        <v>686</v>
      </c>
      <c r="D254" s="78" t="s">
        <v>659</v>
      </c>
      <c r="E254" s="7" t="s">
        <v>658</v>
      </c>
      <c r="F254" s="7" t="s">
        <v>247</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2353</v>
      </c>
      <c r="U254" s="7" t="s">
        <v>657</v>
      </c>
      <c r="W254">
        <f>COUNTIF($A$157:A254,A254)</f>
        <v>16</v>
      </c>
      <c r="X254" t="s">
        <v>2277</v>
      </c>
      <c r="Y254">
        <f t="shared" si="23"/>
        <v>231</v>
      </c>
      <c r="Z254" t="str">
        <f t="shared" si="24"/>
        <v>D-16</v>
      </c>
      <c r="AB254">
        <v>311</v>
      </c>
      <c r="AC254" t="s">
        <v>2078</v>
      </c>
    </row>
    <row r="255" spans="1:29">
      <c r="A255" s="7" t="s">
        <v>689</v>
      </c>
      <c r="B255" s="7" t="str">
        <f>Texte!B254</f>
        <v>Solarstromanlage Flachdach (KBOB)</v>
      </c>
      <c r="C255" s="41" t="s">
        <v>685</v>
      </c>
      <c r="D255" s="78" t="s">
        <v>659</v>
      </c>
      <c r="E255" s="7" t="s">
        <v>658</v>
      </c>
      <c r="F255" s="7" t="s">
        <v>247</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2353</v>
      </c>
      <c r="U255" s="7" t="s">
        <v>657</v>
      </c>
      <c r="W255">
        <f>COUNTIF($A$157:A255,A255)</f>
        <v>17</v>
      </c>
      <c r="X255" t="s">
        <v>2278</v>
      </c>
      <c r="Y255">
        <f t="shared" si="23"/>
        <v>232</v>
      </c>
      <c r="Z255" t="str">
        <f t="shared" si="24"/>
        <v>D-17</v>
      </c>
      <c r="AB255">
        <v>312</v>
      </c>
      <c r="AC255" t="s">
        <v>2076</v>
      </c>
    </row>
    <row r="256" spans="1:29">
      <c r="A256" s="7" t="s">
        <v>689</v>
      </c>
      <c r="B256" s="7" t="str">
        <f>Texte!B255</f>
        <v>Solarstromanlage Schrägdach (KBOB)</v>
      </c>
      <c r="C256" s="41" t="s">
        <v>684</v>
      </c>
      <c r="D256" s="78" t="s">
        <v>659</v>
      </c>
      <c r="E256" s="7" t="s">
        <v>658</v>
      </c>
      <c r="F256" s="7" t="s">
        <v>247</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2353</v>
      </c>
      <c r="U256" s="7" t="s">
        <v>657</v>
      </c>
      <c r="W256">
        <f>COUNTIF($A$157:A256,A256)</f>
        <v>18</v>
      </c>
      <c r="X256" t="s">
        <v>2279</v>
      </c>
      <c r="Y256">
        <f t="shared" si="23"/>
        <v>233</v>
      </c>
      <c r="Z256" t="str">
        <f t="shared" si="24"/>
        <v>D-18</v>
      </c>
      <c r="AB256">
        <v>313</v>
      </c>
      <c r="AC256" t="s">
        <v>2111</v>
      </c>
    </row>
    <row r="257" spans="1:29">
      <c r="A257" s="7" t="s">
        <v>689</v>
      </c>
      <c r="B257" s="7" t="str">
        <f>Texte!B256</f>
        <v>Wärmeabgabe über Fussbodenheizung (KBOB)</v>
      </c>
      <c r="C257" s="7" t="s">
        <v>666</v>
      </c>
      <c r="D257" s="78" t="s">
        <v>659</v>
      </c>
      <c r="E257" s="7" t="s">
        <v>246</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268</v>
      </c>
      <c r="S257" s="8" t="s">
        <v>30</v>
      </c>
      <c r="T257" s="8" t="s">
        <v>2355</v>
      </c>
      <c r="U257" s="7" t="s">
        <v>657</v>
      </c>
      <c r="W257">
        <f>COUNTIF($A$157:A257,A257)</f>
        <v>19</v>
      </c>
      <c r="X257" t="s">
        <v>2280</v>
      </c>
      <c r="Y257">
        <f t="shared" si="23"/>
        <v>234</v>
      </c>
      <c r="Z257" t="str">
        <f t="shared" si="24"/>
        <v>D-19</v>
      </c>
      <c r="AB257">
        <v>314</v>
      </c>
      <c r="AC257" t="s">
        <v>2127</v>
      </c>
    </row>
    <row r="258" spans="1:29">
      <c r="A258" s="7" t="s">
        <v>689</v>
      </c>
      <c r="B258" s="7" t="str">
        <f>Texte!B257</f>
        <v>Wärmeabgabe über Heizkörper (KBOB)</v>
      </c>
      <c r="C258" s="7" t="s">
        <v>665</v>
      </c>
      <c r="D258" s="78" t="s">
        <v>659</v>
      </c>
      <c r="E258" s="7" t="s">
        <v>246</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268</v>
      </c>
      <c r="S258" s="8" t="s">
        <v>30</v>
      </c>
      <c r="T258" s="8" t="s">
        <v>2355</v>
      </c>
      <c r="U258" s="7" t="s">
        <v>657</v>
      </c>
      <c r="W258">
        <f>COUNTIF($A$157:A258,A258)</f>
        <v>20</v>
      </c>
      <c r="X258" t="s">
        <v>2281</v>
      </c>
      <c r="Y258">
        <f t="shared" si="23"/>
        <v>235</v>
      </c>
      <c r="Z258" t="str">
        <f t="shared" si="24"/>
        <v>D-20</v>
      </c>
      <c r="AB258">
        <v>315</v>
      </c>
      <c r="AC258" t="s">
        <v>2129</v>
      </c>
    </row>
    <row r="259" spans="1:29">
      <c r="A259" s="7" t="s">
        <v>689</v>
      </c>
      <c r="B259" s="7" t="str">
        <f>Texte!B258</f>
        <v>Wärmeabgabe über Heizkühldecke (ohne Gips- oder Metalldecke) (KBOB)</v>
      </c>
      <c r="C259" s="7" t="s">
        <v>667</v>
      </c>
      <c r="D259" s="78" t="s">
        <v>659</v>
      </c>
      <c r="E259" s="7" t="s">
        <v>246</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268</v>
      </c>
      <c r="S259" s="8" t="s">
        <v>30</v>
      </c>
      <c r="T259" s="8" t="s">
        <v>2355</v>
      </c>
      <c r="U259" s="7" t="s">
        <v>657</v>
      </c>
      <c r="W259">
        <f>COUNTIF($A$157:A259,A259)</f>
        <v>21</v>
      </c>
      <c r="X259" t="s">
        <v>2282</v>
      </c>
      <c r="Y259">
        <f t="shared" si="23"/>
        <v>236</v>
      </c>
      <c r="Z259" t="str">
        <f t="shared" si="24"/>
        <v>D-21</v>
      </c>
      <c r="AB259">
        <v>316</v>
      </c>
      <c r="AC259" t="s">
        <v>2128</v>
      </c>
    </row>
    <row r="260" spans="1:29">
      <c r="A260" s="7" t="s">
        <v>689</v>
      </c>
      <c r="B260" s="7" t="str">
        <f>Texte!B259</f>
        <v>Wärmeerzeuger, spez. Leistungsbedarf 10 W/m2 (KBOB)</v>
      </c>
      <c r="C260" s="7" t="s">
        <v>660</v>
      </c>
      <c r="D260" s="78" t="s">
        <v>659</v>
      </c>
      <c r="E260" s="7" t="s">
        <v>246</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268</v>
      </c>
      <c r="S260" s="8" t="s">
        <v>30</v>
      </c>
      <c r="T260" s="8" t="s">
        <v>2356</v>
      </c>
      <c r="U260" s="7" t="s">
        <v>657</v>
      </c>
      <c r="W260">
        <f>COUNTIF($A$157:A260,A260)</f>
        <v>22</v>
      </c>
      <c r="X260" t="s">
        <v>2283</v>
      </c>
      <c r="Y260">
        <f t="shared" si="23"/>
        <v>237</v>
      </c>
      <c r="Z260" t="str">
        <f t="shared" si="24"/>
        <v>D-22</v>
      </c>
      <c r="AB260">
        <v>317</v>
      </c>
      <c r="AC260" t="s">
        <v>2126</v>
      </c>
    </row>
    <row r="261" spans="1:29">
      <c r="A261" s="7" t="s">
        <v>689</v>
      </c>
      <c r="B261" s="7" t="str">
        <f>Texte!B260</f>
        <v>Wärmeerzeuger, spez. Leistungsbedarf 30 W/m2 (KBOB)</v>
      </c>
      <c r="C261" s="7" t="s">
        <v>661</v>
      </c>
      <c r="D261" s="78" t="s">
        <v>659</v>
      </c>
      <c r="E261" s="7" t="s">
        <v>246</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268</v>
      </c>
      <c r="S261" s="8" t="s">
        <v>30</v>
      </c>
      <c r="T261" s="8" t="s">
        <v>2356</v>
      </c>
      <c r="U261" s="7" t="s">
        <v>657</v>
      </c>
      <c r="W261">
        <f>COUNTIF($A$157:A261,A261)</f>
        <v>23</v>
      </c>
      <c r="X261" t="s">
        <v>2284</v>
      </c>
      <c r="Y261">
        <f t="shared" si="23"/>
        <v>238</v>
      </c>
      <c r="Z261" t="str">
        <f t="shared" si="24"/>
        <v>D-23</v>
      </c>
      <c r="AB261">
        <v>318</v>
      </c>
      <c r="AC261" t="s">
        <v>2134</v>
      </c>
    </row>
    <row r="262" spans="1:29">
      <c r="A262" s="7" t="s">
        <v>689</v>
      </c>
      <c r="B262" s="7" t="str">
        <f>Texte!B261</f>
        <v>Wärmeerzeuger, spez. Leistungsbedarf 50 W/m2 (KBOB)</v>
      </c>
      <c r="C262" s="7" t="s">
        <v>662</v>
      </c>
      <c r="D262" s="78" t="s">
        <v>659</v>
      </c>
      <c r="E262" s="7" t="s">
        <v>246</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268</v>
      </c>
      <c r="S262" s="8" t="s">
        <v>30</v>
      </c>
      <c r="T262" s="8" t="s">
        <v>2356</v>
      </c>
      <c r="U262" s="7" t="s">
        <v>657</v>
      </c>
      <c r="W262">
        <f>COUNTIF($A$157:A262,A262)</f>
        <v>24</v>
      </c>
      <c r="X262" t="s">
        <v>2285</v>
      </c>
      <c r="Y262">
        <f t="shared" si="23"/>
        <v>239</v>
      </c>
      <c r="Z262" t="str">
        <f t="shared" si="24"/>
        <v>D-24</v>
      </c>
      <c r="AB262">
        <v>319</v>
      </c>
      <c r="AC262" t="s">
        <v>2137</v>
      </c>
    </row>
    <row r="263" spans="1:29">
      <c r="A263" s="7" t="s">
        <v>689</v>
      </c>
      <c r="B263" s="7" t="str">
        <f>Texte!B262</f>
        <v>Wärmeverteilung Bürogebäude (KBOB)</v>
      </c>
      <c r="C263" s="7" t="s">
        <v>664</v>
      </c>
      <c r="D263" s="78" t="s">
        <v>659</v>
      </c>
      <c r="E263" s="7" t="s">
        <v>246</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268</v>
      </c>
      <c r="S263" s="8" t="s">
        <v>30</v>
      </c>
      <c r="T263" s="8" t="s">
        <v>2354</v>
      </c>
      <c r="U263" s="7" t="s">
        <v>657</v>
      </c>
      <c r="W263">
        <f>COUNTIF($A$157:A263,A263)</f>
        <v>25</v>
      </c>
      <c r="X263" t="s">
        <v>2286</v>
      </c>
      <c r="Y263">
        <f t="shared" si="23"/>
        <v>240</v>
      </c>
      <c r="Z263" t="str">
        <f t="shared" si="24"/>
        <v>D-25</v>
      </c>
      <c r="AB263">
        <v>320</v>
      </c>
      <c r="AC263" t="s">
        <v>2135</v>
      </c>
    </row>
    <row r="264" spans="1:29">
      <c r="A264" s="7" t="s">
        <v>689</v>
      </c>
      <c r="B264" s="7" t="str">
        <f>Texte!B263</f>
        <v>Wärmeverteilung und Abgabe, Luftheizung (KBOB)</v>
      </c>
      <c r="C264" s="7" t="s">
        <v>668</v>
      </c>
      <c r="D264" s="78" t="s">
        <v>659</v>
      </c>
      <c r="E264" s="7" t="s">
        <v>246</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268</v>
      </c>
      <c r="S264" s="8" t="s">
        <v>30</v>
      </c>
      <c r="T264" s="8" t="s">
        <v>2354</v>
      </c>
      <c r="U264" s="7" t="s">
        <v>657</v>
      </c>
      <c r="W264">
        <f>COUNTIF($A$157:A264,A264)</f>
        <v>26</v>
      </c>
      <c r="X264" t="s">
        <v>2287</v>
      </c>
      <c r="Y264">
        <f t="shared" si="23"/>
        <v>241</v>
      </c>
      <c r="Z264" t="str">
        <f t="shared" si="24"/>
        <v>D-26</v>
      </c>
      <c r="AB264">
        <v>321</v>
      </c>
      <c r="AC264" t="s">
        <v>2133</v>
      </c>
    </row>
    <row r="265" spans="1:29">
      <c r="A265" s="7" t="s">
        <v>689</v>
      </c>
      <c r="B265" s="7" t="str">
        <f>Texte!B264</f>
        <v>Wärmeverteilung Wohngebäude (KBOB)</v>
      </c>
      <c r="C265" s="7" t="s">
        <v>663</v>
      </c>
      <c r="D265" s="78" t="s">
        <v>659</v>
      </c>
      <c r="E265" s="7" t="s">
        <v>246</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268</v>
      </c>
      <c r="S265" s="8" t="s">
        <v>30</v>
      </c>
      <c r="T265" s="8" t="s">
        <v>2354</v>
      </c>
      <c r="U265" s="7" t="s">
        <v>657</v>
      </c>
      <c r="W265">
        <f>COUNTIF($A$157:A265,A265)</f>
        <v>27</v>
      </c>
      <c r="X265" t="s">
        <v>2288</v>
      </c>
      <c r="Y265">
        <f t="shared" si="23"/>
        <v>242</v>
      </c>
      <c r="Z265" t="str">
        <f t="shared" si="24"/>
        <v>D-27</v>
      </c>
      <c r="AB265">
        <v>322</v>
      </c>
      <c r="AC265" t="s">
        <v>2136</v>
      </c>
    </row>
    <row r="266" spans="1:29">
      <c r="A266" s="8" t="s">
        <v>689</v>
      </c>
      <c r="B266" s="7" t="str">
        <f>Texte!B322</f>
        <v>Abluftanlage Küche und Bad (SIA 2032)</v>
      </c>
      <c r="C266" s="8"/>
      <c r="D266" s="75"/>
      <c r="E266" s="8" t="s">
        <v>246</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268</v>
      </c>
      <c r="S266" s="8" t="s">
        <v>30</v>
      </c>
      <c r="T266" s="8" t="s">
        <v>2348</v>
      </c>
      <c r="U266" s="7" t="s">
        <v>761</v>
      </c>
      <c r="W266">
        <f>COUNTIF($A$157:A266,A266)</f>
        <v>28</v>
      </c>
      <c r="X266" t="s">
        <v>2303</v>
      </c>
      <c r="Y266">
        <f t="shared" si="23"/>
        <v>300</v>
      </c>
      <c r="Z266" t="str">
        <f t="shared" si="24"/>
        <v>D-28</v>
      </c>
      <c r="AB266" t="s">
        <v>2321</v>
      </c>
      <c r="AC266" t="s">
        <v>2321</v>
      </c>
    </row>
    <row r="267" spans="1:29">
      <c r="A267" s="8" t="s">
        <v>689</v>
      </c>
      <c r="B267" s="7" t="str">
        <f>Texte!B315</f>
        <v>Elektroanlage Büro (SIA 2032)</v>
      </c>
      <c r="C267" s="8"/>
      <c r="D267" s="75"/>
      <c r="E267" s="8" t="s">
        <v>246</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268</v>
      </c>
      <c r="S267" s="8" t="s">
        <v>30</v>
      </c>
      <c r="T267" s="8" t="s">
        <v>2349</v>
      </c>
      <c r="U267" s="7" t="s">
        <v>761</v>
      </c>
      <c r="W267">
        <f>COUNTIF($A$157:A267,A267)</f>
        <v>29</v>
      </c>
      <c r="X267" t="s">
        <v>2304</v>
      </c>
      <c r="Y267">
        <f t="shared" si="23"/>
        <v>293</v>
      </c>
      <c r="Z267" t="str">
        <f t="shared" si="24"/>
        <v>D-29</v>
      </c>
      <c r="AB267" t="s">
        <v>2321</v>
      </c>
      <c r="AC267" t="s">
        <v>2321</v>
      </c>
    </row>
    <row r="268" spans="1:29">
      <c r="A268" s="8" t="s">
        <v>689</v>
      </c>
      <c r="B268" s="7" t="str">
        <f>Texte!B314</f>
        <v>Elektroanlage Wohnen (SIA 2032)</v>
      </c>
      <c r="C268" s="8"/>
      <c r="D268" s="75"/>
      <c r="E268" s="8" t="s">
        <v>246</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268</v>
      </c>
      <c r="S268" s="8" t="s">
        <v>30</v>
      </c>
      <c r="T268" s="8" t="s">
        <v>2349</v>
      </c>
      <c r="U268" s="7" t="s">
        <v>761</v>
      </c>
      <c r="W268">
        <f>COUNTIF($A$157:A268,A268)</f>
        <v>30</v>
      </c>
      <c r="X268" t="s">
        <v>2305</v>
      </c>
      <c r="Y268">
        <f t="shared" si="23"/>
        <v>292</v>
      </c>
      <c r="Z268" t="str">
        <f t="shared" si="24"/>
        <v>D-30</v>
      </c>
      <c r="AB268" t="s">
        <v>2321</v>
      </c>
      <c r="AC268" t="s">
        <v>2321</v>
      </c>
    </row>
    <row r="269" spans="1:29">
      <c r="A269" s="8" t="s">
        <v>689</v>
      </c>
      <c r="B269" s="7" t="str">
        <f>Texte!B320</f>
        <v>Erdwärmesonden (SIA 2032)</v>
      </c>
      <c r="C269" s="8"/>
      <c r="D269" s="75"/>
      <c r="E269" s="8" t="s">
        <v>246</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268</v>
      </c>
      <c r="S269" s="8" t="s">
        <v>30</v>
      </c>
      <c r="T269" s="8" t="s">
        <v>2351</v>
      </c>
      <c r="U269" s="7" t="s">
        <v>761</v>
      </c>
      <c r="W269">
        <f>COUNTIF($A$157:A269,A269)</f>
        <v>31</v>
      </c>
      <c r="X269" t="s">
        <v>2306</v>
      </c>
      <c r="Y269">
        <f t="shared" si="23"/>
        <v>298</v>
      </c>
      <c r="Z269" t="str">
        <f t="shared" si="24"/>
        <v>D-31</v>
      </c>
      <c r="AB269" t="s">
        <v>2321</v>
      </c>
      <c r="AC269" t="s">
        <v>2321</v>
      </c>
    </row>
    <row r="270" spans="1:29">
      <c r="A270" s="8" t="s">
        <v>689</v>
      </c>
      <c r="B270" s="7" t="str">
        <f>Texte!B324</f>
        <v>Lüftungsanlage Büro (SIA 2032)</v>
      </c>
      <c r="C270" s="8"/>
      <c r="D270" s="75"/>
      <c r="E270" s="8" t="s">
        <v>246</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268</v>
      </c>
      <c r="S270" s="8" t="s">
        <v>30</v>
      </c>
      <c r="T270" s="8" t="s">
        <v>2348</v>
      </c>
      <c r="U270" s="7" t="s">
        <v>761</v>
      </c>
      <c r="W270">
        <f>COUNTIF($A$157:A270,A270)</f>
        <v>32</v>
      </c>
      <c r="X270" t="s">
        <v>2307</v>
      </c>
      <c r="Y270">
        <f t="shared" si="23"/>
        <v>302</v>
      </c>
      <c r="Z270" t="str">
        <f t="shared" si="24"/>
        <v>D-32</v>
      </c>
      <c r="AB270" t="s">
        <v>2321</v>
      </c>
      <c r="AC270" t="s">
        <v>2321</v>
      </c>
    </row>
    <row r="271" spans="1:29">
      <c r="A271" s="8" t="s">
        <v>689</v>
      </c>
      <c r="B271" s="7" t="str">
        <f>Texte!B323</f>
        <v>Lüftungsanlage Wohnen (SIA 2032)</v>
      </c>
      <c r="C271" s="8"/>
      <c r="D271" s="75"/>
      <c r="E271" s="8" t="s">
        <v>246</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268</v>
      </c>
      <c r="S271" s="8" t="s">
        <v>30</v>
      </c>
      <c r="T271" s="8" t="s">
        <v>2348</v>
      </c>
      <c r="U271" s="7" t="s">
        <v>761</v>
      </c>
      <c r="W271">
        <f>COUNTIF($A$157:A271,A271)</f>
        <v>33</v>
      </c>
      <c r="X271" t="s">
        <v>2308</v>
      </c>
      <c r="Y271">
        <f t="shared" si="23"/>
        <v>301</v>
      </c>
      <c r="Z271" t="str">
        <f t="shared" si="24"/>
        <v>D-33</v>
      </c>
      <c r="AB271" t="s">
        <v>2321</v>
      </c>
      <c r="AC271" t="s">
        <v>2321</v>
      </c>
    </row>
    <row r="272" spans="1:29">
      <c r="A272" s="8" t="s">
        <v>689</v>
      </c>
      <c r="B272" s="7" t="str">
        <f>Texte!B326</f>
        <v>Sanitäranlage Büro (SIA 2032)</v>
      </c>
      <c r="C272" s="8"/>
      <c r="D272" s="75"/>
      <c r="E272" s="8" t="s">
        <v>246</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268</v>
      </c>
      <c r="S272" s="8" t="s">
        <v>30</v>
      </c>
      <c r="T272" s="8" t="s">
        <v>2350</v>
      </c>
      <c r="U272" s="7" t="s">
        <v>761</v>
      </c>
      <c r="W272">
        <f>COUNTIF($A$157:A272,A272)</f>
        <v>34</v>
      </c>
      <c r="X272" t="s">
        <v>2309</v>
      </c>
      <c r="Y272">
        <f t="shared" si="23"/>
        <v>304</v>
      </c>
      <c r="Z272" t="str">
        <f t="shared" si="24"/>
        <v>D-34</v>
      </c>
      <c r="AB272" t="s">
        <v>2321</v>
      </c>
      <c r="AC272" t="s">
        <v>2321</v>
      </c>
    </row>
    <row r="273" spans="1:29">
      <c r="A273" s="8" t="s">
        <v>689</v>
      </c>
      <c r="B273" s="7" t="str">
        <f>Texte!B325</f>
        <v>Sanitäranlage Wohnen (SIA 2032)</v>
      </c>
      <c r="C273" s="8"/>
      <c r="D273" s="75"/>
      <c r="E273" s="8" t="s">
        <v>246</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268</v>
      </c>
      <c r="S273" s="8" t="s">
        <v>30</v>
      </c>
      <c r="T273" s="8" t="s">
        <v>2350</v>
      </c>
      <c r="U273" s="7" t="s">
        <v>761</v>
      </c>
      <c r="W273">
        <f>COUNTIF($A$157:A273,A273)</f>
        <v>35</v>
      </c>
      <c r="X273" t="s">
        <v>2310</v>
      </c>
      <c r="Y273">
        <f t="shared" si="23"/>
        <v>303</v>
      </c>
      <c r="Z273" t="str">
        <f t="shared" si="24"/>
        <v>D-35</v>
      </c>
      <c r="AB273" t="s">
        <v>2321</v>
      </c>
      <c r="AC273" t="s">
        <v>2321</v>
      </c>
    </row>
    <row r="274" spans="1:29">
      <c r="A274" s="8" t="s">
        <v>689</v>
      </c>
      <c r="B274" s="7" t="str">
        <f>Texte!B321</f>
        <v>Solarkollektoren (SIA 2032)</v>
      </c>
      <c r="C274" s="8"/>
      <c r="D274" s="75"/>
      <c r="E274" s="8" t="s">
        <v>246</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268</v>
      </c>
      <c r="S274" s="8" t="s">
        <v>30</v>
      </c>
      <c r="T274" s="8" t="s">
        <v>2352</v>
      </c>
      <c r="U274" s="7" t="s">
        <v>761</v>
      </c>
      <c r="W274">
        <f>COUNTIF($A$157:A274,A274)</f>
        <v>36</v>
      </c>
      <c r="X274" t="s">
        <v>2311</v>
      </c>
      <c r="Y274">
        <f t="shared" si="23"/>
        <v>299</v>
      </c>
      <c r="Z274" t="str">
        <f t="shared" si="24"/>
        <v>D-36</v>
      </c>
      <c r="AB274" t="s">
        <v>2321</v>
      </c>
      <c r="AC274" t="s">
        <v>2321</v>
      </c>
    </row>
    <row r="275" spans="1:29">
      <c r="A275" s="8" t="s">
        <v>689</v>
      </c>
      <c r="B275" s="7" t="str">
        <f>Texte!B316</f>
        <v>Solarstromanlage (1 m2 = 0.14 kWp) (SIA 2032)</v>
      </c>
      <c r="C275" s="8"/>
      <c r="D275" s="75"/>
      <c r="E275" s="8" t="s">
        <v>246</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268</v>
      </c>
      <c r="S275" s="8" t="s">
        <v>30</v>
      </c>
      <c r="T275" s="8" t="s">
        <v>2353</v>
      </c>
      <c r="U275" s="7" t="s">
        <v>761</v>
      </c>
      <c r="W275">
        <f>COUNTIF($A$157:A275,A275)</f>
        <v>37</v>
      </c>
      <c r="X275" t="s">
        <v>2312</v>
      </c>
      <c r="Y275">
        <f t="shared" si="23"/>
        <v>294</v>
      </c>
      <c r="Z275" t="str">
        <f t="shared" si="24"/>
        <v>D-37</v>
      </c>
      <c r="AB275" t="s">
        <v>2321</v>
      </c>
      <c r="AC275" t="s">
        <v>2321</v>
      </c>
    </row>
    <row r="276" spans="1:29">
      <c r="A276" s="8" t="s">
        <v>689</v>
      </c>
      <c r="B276" s="7" t="str">
        <f>Texte!B317</f>
        <v>Wärmeerzeugung (SIA 2032)</v>
      </c>
      <c r="C276" s="8"/>
      <c r="D276" s="75"/>
      <c r="E276" s="8" t="s">
        <v>246</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268</v>
      </c>
      <c r="S276" s="8" t="s">
        <v>30</v>
      </c>
      <c r="T276" s="8" t="s">
        <v>2356</v>
      </c>
      <c r="U276" s="7" t="s">
        <v>761</v>
      </c>
      <c r="W276">
        <f>COUNTIF($A$157:A276,A276)</f>
        <v>38</v>
      </c>
      <c r="X276" t="s">
        <v>2313</v>
      </c>
      <c r="Y276">
        <f t="shared" si="23"/>
        <v>295</v>
      </c>
      <c r="Z276" t="str">
        <f t="shared" si="24"/>
        <v>D-38</v>
      </c>
      <c r="AB276" t="s">
        <v>2321</v>
      </c>
      <c r="AC276" t="s">
        <v>2321</v>
      </c>
    </row>
    <row r="277" spans="1:29">
      <c r="A277" s="8" t="s">
        <v>689</v>
      </c>
      <c r="B277" s="7" t="str">
        <f>Texte!B319</f>
        <v>Wärmeverteilung und -Abgabe Büro (SIA 2032)</v>
      </c>
      <c r="C277" s="8"/>
      <c r="D277" s="75"/>
      <c r="E277" s="8" t="s">
        <v>246</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268</v>
      </c>
      <c r="S277" s="8" t="s">
        <v>30</v>
      </c>
      <c r="T277" s="8" t="s">
        <v>2354</v>
      </c>
      <c r="U277" s="7" t="s">
        <v>761</v>
      </c>
      <c r="W277">
        <f>COUNTIF($A$157:A277,A277)</f>
        <v>39</v>
      </c>
      <c r="X277" t="s">
        <v>2314</v>
      </c>
      <c r="Y277">
        <f t="shared" si="23"/>
        <v>297</v>
      </c>
      <c r="Z277" t="str">
        <f t="shared" si="24"/>
        <v>D-39</v>
      </c>
      <c r="AB277" t="s">
        <v>2321</v>
      </c>
      <c r="AC277" t="s">
        <v>2321</v>
      </c>
    </row>
    <row r="278" spans="1:29">
      <c r="A278" s="8" t="s">
        <v>689</v>
      </c>
      <c r="B278" s="7" t="str">
        <f>Texte!B318</f>
        <v>Wärmeverteilung und -Abgabe Wohnen (SIA 2032)</v>
      </c>
      <c r="C278" s="8"/>
      <c r="D278" s="75"/>
      <c r="E278" s="8" t="s">
        <v>246</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268</v>
      </c>
      <c r="S278" s="8" t="s">
        <v>30</v>
      </c>
      <c r="T278" s="8" t="s">
        <v>2354</v>
      </c>
      <c r="U278" s="7" t="s">
        <v>761</v>
      </c>
      <c r="W278">
        <f>COUNTIF($A$157:A278,A278)</f>
        <v>40</v>
      </c>
      <c r="X278" t="s">
        <v>2315</v>
      </c>
      <c r="Y278">
        <f t="shared" si="23"/>
        <v>296</v>
      </c>
      <c r="Z278" t="str">
        <f t="shared" si="24"/>
        <v>D-40</v>
      </c>
      <c r="AB278" t="s">
        <v>2321</v>
      </c>
      <c r="AC278" t="s">
        <v>2321</v>
      </c>
    </row>
    <row r="279" spans="1:29">
      <c r="A279" s="7" t="s">
        <v>690</v>
      </c>
      <c r="B279" s="7" t="str">
        <f>Texte!B265</f>
        <v>Alu-Fenster 3-IV (BTK)</v>
      </c>
      <c r="C279" s="7" t="s">
        <v>594</v>
      </c>
      <c r="D279" s="77" t="s">
        <v>593</v>
      </c>
      <c r="E279" s="7" t="s">
        <v>242</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341</v>
      </c>
      <c r="U279" s="7" t="s">
        <v>651</v>
      </c>
      <c r="W279">
        <f>COUNTIF($A$157:A279,A279)</f>
        <v>1</v>
      </c>
      <c r="X279" t="s">
        <v>2289</v>
      </c>
      <c r="Y279">
        <f t="shared" si="23"/>
        <v>243</v>
      </c>
      <c r="Z279" t="str">
        <f t="shared" si="24"/>
        <v>E3-1</v>
      </c>
      <c r="AB279" t="s">
        <v>2321</v>
      </c>
      <c r="AC279" t="s">
        <v>2321</v>
      </c>
    </row>
    <row r="280" spans="1:29">
      <c r="A280" s="7" t="s">
        <v>690</v>
      </c>
      <c r="B280" s="7" t="str">
        <f>Texte!B266</f>
        <v>Aussentüre Holz (BTK)</v>
      </c>
      <c r="C280" s="7" t="s">
        <v>595</v>
      </c>
      <c r="D280" s="77" t="s">
        <v>596</v>
      </c>
      <c r="E280" s="7" t="s">
        <v>242</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341</v>
      </c>
      <c r="U280" s="7" t="s">
        <v>651</v>
      </c>
      <c r="W280">
        <f>COUNTIF($A$157:A280,A280)</f>
        <v>2</v>
      </c>
      <c r="X280" t="s">
        <v>2290</v>
      </c>
      <c r="Y280">
        <f t="shared" si="23"/>
        <v>244</v>
      </c>
      <c r="Z280" t="str">
        <f t="shared" si="24"/>
        <v>E3-2</v>
      </c>
      <c r="AB280" t="s">
        <v>2321</v>
      </c>
      <c r="AC280" t="s">
        <v>2321</v>
      </c>
    </row>
    <row r="281" spans="1:29">
      <c r="A281" s="7" t="s">
        <v>690</v>
      </c>
      <c r="B281" s="7" t="str">
        <f>Texte!B267</f>
        <v>Holzfenster 3-IV (BTK)</v>
      </c>
      <c r="C281" s="7" t="s">
        <v>588</v>
      </c>
      <c r="D281" s="77" t="s">
        <v>587</v>
      </c>
      <c r="E281" s="7" t="s">
        <v>242</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341</v>
      </c>
      <c r="U281" s="7" t="s">
        <v>651</v>
      </c>
      <c r="W281">
        <f>COUNTIF($A$157:A281,A281)</f>
        <v>3</v>
      </c>
      <c r="X281" t="s">
        <v>2291</v>
      </c>
      <c r="Y281">
        <f t="shared" si="23"/>
        <v>245</v>
      </c>
      <c r="Z281" t="str">
        <f t="shared" si="24"/>
        <v>E3-3</v>
      </c>
      <c r="AB281" t="s">
        <v>2321</v>
      </c>
      <c r="AC281" t="s">
        <v>2321</v>
      </c>
    </row>
    <row r="282" spans="1:29">
      <c r="A282" s="7" t="s">
        <v>690</v>
      </c>
      <c r="B282" s="7" t="str">
        <f>Texte!B268</f>
        <v>Holz-Metall-Fenster 3-IV (BTK)</v>
      </c>
      <c r="C282" s="7" t="s">
        <v>589</v>
      </c>
      <c r="D282" s="77" t="s">
        <v>590</v>
      </c>
      <c r="E282" s="7" t="s">
        <v>242</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341</v>
      </c>
      <c r="U282" s="7" t="s">
        <v>651</v>
      </c>
      <c r="W282">
        <f>COUNTIF($A$157:A282,A282)</f>
        <v>4</v>
      </c>
      <c r="X282" t="s">
        <v>2292</v>
      </c>
      <c r="Y282">
        <f t="shared" si="23"/>
        <v>246</v>
      </c>
      <c r="Z282" t="str">
        <f t="shared" si="24"/>
        <v>E3-4</v>
      </c>
      <c r="AB282" t="s">
        <v>2321</v>
      </c>
      <c r="AC282" t="s">
        <v>2321</v>
      </c>
    </row>
    <row r="283" spans="1:29">
      <c r="A283" s="7" t="s">
        <v>690</v>
      </c>
      <c r="B283" s="7" t="str">
        <f>Texte!B269</f>
        <v>Kunststofffenster 3-IV (BTK)</v>
      </c>
      <c r="C283" s="7" t="s">
        <v>592</v>
      </c>
      <c r="D283" s="77" t="s">
        <v>591</v>
      </c>
      <c r="E283" s="7" t="s">
        <v>242</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341</v>
      </c>
      <c r="U283" s="7" t="s">
        <v>651</v>
      </c>
      <c r="W283">
        <f>COUNTIF($A$157:A283,A283)</f>
        <v>5</v>
      </c>
      <c r="X283" t="s">
        <v>2293</v>
      </c>
      <c r="Y283">
        <f t="shared" si="23"/>
        <v>247</v>
      </c>
      <c r="Z283" t="str">
        <f t="shared" si="24"/>
        <v>E3-5</v>
      </c>
      <c r="AB283" t="s">
        <v>2321</v>
      </c>
      <c r="AC283" t="s">
        <v>2321</v>
      </c>
    </row>
    <row r="284" spans="1:29">
      <c r="A284" s="8" t="s">
        <v>690</v>
      </c>
      <c r="B284" s="7" t="str">
        <f>Texte!B298</f>
        <v>Mittelwert Fenster 3-fach IV, inkl. Sonnenschutz (SIA 2032)</v>
      </c>
      <c r="C284" s="8"/>
      <c r="D284" s="75"/>
      <c r="E284" s="8" t="s">
        <v>242</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341</v>
      </c>
      <c r="U284" s="7" t="s">
        <v>761</v>
      </c>
      <c r="W284">
        <f>COUNTIF($A$157:A284,A284)</f>
        <v>6</v>
      </c>
      <c r="X284" t="s">
        <v>2316</v>
      </c>
      <c r="Y284">
        <f t="shared" si="23"/>
        <v>276</v>
      </c>
      <c r="Z284" t="str">
        <f t="shared" si="24"/>
        <v>E3-6</v>
      </c>
      <c r="AB284" t="s">
        <v>2321</v>
      </c>
      <c r="AC284" t="s">
        <v>2321</v>
      </c>
    </row>
    <row r="285" spans="1:29">
      <c r="A285" s="8" t="s">
        <v>1662</v>
      </c>
      <c r="B285" s="7" t="str">
        <f>Texte!B312</f>
        <v>Abgehängte Installationsdecke (Mittelwert) (SIA 2032)</v>
      </c>
      <c r="C285" s="8"/>
      <c r="D285" s="75"/>
      <c r="E285" s="8" t="s">
        <v>242</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341</v>
      </c>
      <c r="U285" s="7" t="s">
        <v>761</v>
      </c>
      <c r="W285">
        <f>COUNTIF($A$157:A285,A285)</f>
        <v>1</v>
      </c>
      <c r="X285" t="s">
        <v>2317</v>
      </c>
      <c r="Y285">
        <f t="shared" si="23"/>
        <v>290</v>
      </c>
      <c r="Z285" t="str">
        <f t="shared" si="24"/>
        <v>G-1</v>
      </c>
      <c r="AB285" t="s">
        <v>2321</v>
      </c>
      <c r="AC285" t="s">
        <v>2321</v>
      </c>
    </row>
    <row r="286" spans="1:29">
      <c r="A286" s="8" t="s">
        <v>1662</v>
      </c>
      <c r="B286" s="7" t="str">
        <f>Texte!B311</f>
        <v>Dämmung gegen unbeheizt (SIA 2032)</v>
      </c>
      <c r="C286" s="8"/>
      <c r="D286" s="75"/>
      <c r="E286" s="8" t="s">
        <v>242</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341</v>
      </c>
      <c r="U286" s="7" t="s">
        <v>761</v>
      </c>
      <c r="W286">
        <f>COUNTIF($A$157:A286,A286)</f>
        <v>2</v>
      </c>
      <c r="X286" t="s">
        <v>2318</v>
      </c>
      <c r="Y286">
        <f t="shared" ref="Y286:Y288" si="32">IFERROR(RIGHT(X286,3)*1,"")</f>
        <v>289</v>
      </c>
      <c r="Z286" t="str">
        <f t="shared" ref="Z286:Z288" si="33">IF(Y286&lt;&gt;"",RIGHT(A286,LEN(A286)-SEARCH("_",A286,3))&amp;"-"&amp;W286,"")</f>
        <v>G-2</v>
      </c>
      <c r="AB286" t="s">
        <v>2321</v>
      </c>
      <c r="AC286" t="s">
        <v>2321</v>
      </c>
    </row>
    <row r="287" spans="1:29">
      <c r="A287" s="8" t="s">
        <v>1662</v>
      </c>
      <c r="B287" s="7" t="str">
        <f>Texte!B309</f>
        <v>Fertiger Bodenbelag (ohne Unterkonstruktion) (SIA 2032)</v>
      </c>
      <c r="C287" s="8"/>
      <c r="D287" s="75"/>
      <c r="E287" s="8" t="s">
        <v>242</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341</v>
      </c>
      <c r="U287" s="7" t="s">
        <v>761</v>
      </c>
      <c r="W287">
        <f>COUNTIF($A$157:A287,A287)</f>
        <v>3</v>
      </c>
      <c r="X287" t="s">
        <v>2319</v>
      </c>
      <c r="Y287">
        <f t="shared" si="32"/>
        <v>287</v>
      </c>
      <c r="Z287" t="str">
        <f t="shared" si="33"/>
        <v>G-3</v>
      </c>
      <c r="AB287" t="s">
        <v>2321</v>
      </c>
      <c r="AC287" t="s">
        <v>2321</v>
      </c>
    </row>
    <row r="288" spans="1:29">
      <c r="A288" s="8" t="s">
        <v>1662</v>
      </c>
      <c r="B288" s="7" t="str">
        <f>Texte!B310</f>
        <v>Unterkonstruktion und Bodenbelag (SIA 2032)</v>
      </c>
      <c r="C288" s="8"/>
      <c r="D288" s="75"/>
      <c r="E288" s="8" t="s">
        <v>242</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341</v>
      </c>
      <c r="U288" s="7" t="s">
        <v>761</v>
      </c>
      <c r="W288">
        <f>COUNTIF($A$157:A288,A288)</f>
        <v>4</v>
      </c>
      <c r="X288" t="s">
        <v>2320</v>
      </c>
      <c r="Y288">
        <f t="shared" si="32"/>
        <v>288</v>
      </c>
      <c r="Z288" t="str">
        <f t="shared" si="33"/>
        <v>G-4</v>
      </c>
      <c r="AB288" t="s">
        <v>2321</v>
      </c>
      <c r="AC288" t="s">
        <v>2321</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5"/>
  <cols>
    <col min="1" max="1" width="9.4609375" customWidth="1"/>
    <col min="2" max="2" width="82.3046875" customWidth="1"/>
    <col min="3" max="3" width="8.53515625" customWidth="1"/>
    <col min="4" max="4" width="9.23046875" customWidth="1"/>
  </cols>
  <sheetData>
    <row r="1" spans="1:4" ht="22.5">
      <c r="A1" s="11" t="s">
        <v>830</v>
      </c>
    </row>
    <row r="3" spans="1:4">
      <c r="A3" s="10" t="s">
        <v>831</v>
      </c>
      <c r="B3" s="10" t="s">
        <v>832</v>
      </c>
      <c r="C3" s="10" t="s">
        <v>833</v>
      </c>
      <c r="D3" s="10" t="s">
        <v>834</v>
      </c>
    </row>
    <row r="4" spans="1:4">
      <c r="A4" s="56" t="s">
        <v>838</v>
      </c>
      <c r="B4" s="5" t="s">
        <v>836</v>
      </c>
      <c r="C4" s="57">
        <v>43391</v>
      </c>
      <c r="D4" s="5" t="s">
        <v>837</v>
      </c>
    </row>
    <row r="5" spans="1:4">
      <c r="A5" s="56" t="s">
        <v>839</v>
      </c>
      <c r="B5" s="5" t="s">
        <v>840</v>
      </c>
      <c r="C5" s="57">
        <v>43436</v>
      </c>
      <c r="D5" s="5" t="s">
        <v>837</v>
      </c>
    </row>
    <row r="6" spans="1:4">
      <c r="A6" s="56" t="s">
        <v>841</v>
      </c>
      <c r="B6" s="5" t="s">
        <v>842</v>
      </c>
      <c r="C6" s="57">
        <v>43798</v>
      </c>
      <c r="D6" s="5" t="s">
        <v>837</v>
      </c>
    </row>
    <row r="7" spans="1:4">
      <c r="A7" s="56" t="s">
        <v>1892</v>
      </c>
      <c r="B7" s="5" t="s">
        <v>843</v>
      </c>
      <c r="C7" s="57">
        <v>43833</v>
      </c>
      <c r="D7" s="5" t="s">
        <v>837</v>
      </c>
    </row>
    <row r="8" spans="1:4">
      <c r="A8" s="56" t="s">
        <v>835</v>
      </c>
      <c r="B8" s="5" t="s">
        <v>1893</v>
      </c>
      <c r="C8" s="57">
        <v>43854</v>
      </c>
      <c r="D8" s="5" t="s">
        <v>837</v>
      </c>
    </row>
    <row r="9" spans="1:4">
      <c r="A9" s="56" t="s">
        <v>2344</v>
      </c>
      <c r="B9" s="5" t="s">
        <v>2345</v>
      </c>
      <c r="C9" s="57">
        <v>44246</v>
      </c>
      <c r="D9" s="5" t="s">
        <v>837</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SKCW24DMUQ4M-227545371-612939</_dlc_DocId>
    <_dlc_DocIdUrl xmlns="19415a2c-3045-4769-8042-b2d573daa356">
      <Url>https://mst239701.sharepoint.com/sites/Files/_layouts/15/DocIdRedir.aspx?ID=SKCW24DMUQ4M-227545371-612939</Url>
      <Description>SKCW24DMUQ4M-227545371-612939</Description>
    </_dlc_DocIdUrl>
  </documentManagement>
</p:properties>
</file>

<file path=customXml/itemProps1.xml><?xml version="1.0" encoding="utf-8"?>
<ds:datastoreItem xmlns:ds="http://schemas.openxmlformats.org/officeDocument/2006/customXml" ds:itemID="{A1799937-D351-4F85-93AB-168DCAF3C91F}"/>
</file>

<file path=customXml/itemProps2.xml><?xml version="1.0" encoding="utf-8"?>
<ds:datastoreItem xmlns:ds="http://schemas.openxmlformats.org/officeDocument/2006/customXml" ds:itemID="{5DC0A896-B7C3-435B-AC74-C7B1D19486FD}"/>
</file>

<file path=customXml/itemProps3.xml><?xml version="1.0" encoding="utf-8"?>
<ds:datastoreItem xmlns:ds="http://schemas.openxmlformats.org/officeDocument/2006/customXml" ds:itemID="{1677EAE0-242D-407B-BA84-6FEA2E163DDD}"/>
</file>

<file path=customXml/itemProps4.xml><?xml version="1.0" encoding="utf-8"?>
<ds:datastoreItem xmlns:ds="http://schemas.openxmlformats.org/officeDocument/2006/customXml" ds:itemID="{15D6DA71-B374-4119-9CA2-E8000BC1111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DE Fragenkatalog Erneuerung</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'DE Fragenkatalog Erneuerung'!Druckbereich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2025-01-17T14:16:03Z</cp:lastPrinted>
  <dcterms:created xsi:type="dcterms:W3CDTF">1999-01-20T17:37:13Z</dcterms:created>
  <dcterms:modified xsi:type="dcterms:W3CDTF">2025-01-17T14:17:23Z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9e7436b0-e842-4543-a341-ab9d3afe033b</vt:lpwstr>
  </property>
</Properties>
</file>