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metadata.xml" ContentType="application/vnd.openxmlformats-officedocument.spreadsheetml.sheetMetadata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10.xml" ContentType="application/vnd.ms-excel.controlproperties+xml"/>
  <Override PartName="/xl/comments1.xml" ContentType="application/vnd.openxmlformats-officedocument.spreadsheetml.comments+xml"/>
  <Override PartName="/xl/ctrlProps/ctrlProp7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trlProps/ctrlProp6.xml" ContentType="application/vnd.ms-excel.controlproperties+xml"/>
  <Override PartName="/xl/ctrlProps/ctrlProp5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DieseArbeitsmappe"/>
  <mc:AlternateContent xmlns:mc="http://schemas.openxmlformats.org/markup-compatibility/2006">
    <mc:Choice Requires="x15">
      <x15ac:absPath xmlns:x15ac="http://schemas.microsoft.com/office/spreadsheetml/2010/11/ac" url="C:\Users\Basil Monkewitz\Nextcloud\ecobau\05_Instrumente\04_Zusatz_ECO\03_Hilfsmittel\04_Tageslicht-Tool\Tageslicht-Tool\"/>
    </mc:Choice>
  </mc:AlternateContent>
  <xr:revisionPtr revIDLastSave="0" documentId="13_ncr:1_{94CB042F-59AB-4AA5-B9D4-5C044D25272B}" xr6:coauthVersionLast="47" xr6:coauthVersionMax="47" xr10:uidLastSave="{00000000-0000-0000-0000-000000000000}"/>
  <workbookProtection workbookAlgorithmName="SHA-512" workbookHashValue="DJnVGzZWYifWu10M747rLrBpDzbpN5KYD2t9BFtm0p/Dz1juaosLfLzvvEgZ4Q6WAuHzdJiXuouka/H81Er5cQ==" workbookSaltValue="Er/zn0UoynB5w55pqzp3QQ==" workbookSpinCount="100000" lockStructure="1"/>
  <bookViews>
    <workbookView xWindow="471" yWindow="309" windowWidth="31458" windowHeight="17185" xr2:uid="{00000000-000D-0000-FFFF-FFFF00000000}"/>
  </bookViews>
  <sheets>
    <sheet name="Riassunto" sheetId="12" r:id="rId1"/>
    <sheet name="Finestre" sheetId="29" r:id="rId2"/>
    <sheet name="Illuminazione_naturale" sheetId="18" r:id="rId3"/>
    <sheet name="Prospettive" sheetId="32" r:id="rId4"/>
    <sheet name="Questionario_ammodernamento" sheetId="28" r:id="rId5"/>
    <sheet name="Constants" sheetId="27" state="hidden" r:id="rId6"/>
    <sheet name="Texte" sheetId="31" state="hidden" r:id="rId7"/>
    <sheet name="Versionierung" sheetId="33" state="hidden" r:id="rId8"/>
  </sheets>
  <definedNames>
    <definedName name="_xlnm._FilterDatabase" localSheetId="2" hidden="1">Illuminazione_naturale!#REF!</definedName>
    <definedName name="Antwort_simp">Questionario_ammodernamento!$A$19</definedName>
    <definedName name="Bauvorhaben">Riassunto!$B$8</definedName>
    <definedName name="Befriedigend">Constants!$C$108</definedName>
    <definedName name="_xlnm.Print_Area" localSheetId="1">Finestre!$A$1:$M$39</definedName>
    <definedName name="_xlnm.Print_Area" localSheetId="2">Illuminazione_naturale!$A$1:$R$40</definedName>
    <definedName name="_xlnm.Print_Area" localSheetId="3">Prospettive!$A$1:$H$40</definedName>
    <definedName name="_xlnm.Print_Area" localSheetId="4">Questionario_ammodernamento!$A$1:$E$30</definedName>
    <definedName name="_xlnm.Print_Area" localSheetId="0">Riassunto!$A$1:$D$45</definedName>
    <definedName name="_xlnm.Print_Area">Illuminazione_naturale!$B$1:$Q$35</definedName>
    <definedName name="_xlnm.Print_Titles" localSheetId="2">Illuminazione_naturale!$1:$4</definedName>
    <definedName name="Erneuerung">Constants!$B$19</definedName>
    <definedName name="Gut">Constants!$C$107</definedName>
    <definedName name="Ja">Constants!$B$9</definedName>
    <definedName name="JaNein">Constants!$B$9:$B$10</definedName>
    <definedName name="ListAussicht">Constants!$B$58:$B$64</definedName>
    <definedName name="ListAussichtQ">Constants!$B$66:$B$69</definedName>
    <definedName name="ListBauvorhaben">Constants!$B$18:$B$19</definedName>
    <definedName name="ListBeleuchtung">Constants!$B$72:$B$105</definedName>
    <definedName name="ListHorizont">Constants!$B$54:$B$56</definedName>
    <definedName name="ListNutzung">Constants!$B$22:$B$34</definedName>
    <definedName name="ListOrientierung">Constants!$B$107:$B$115</definedName>
    <definedName name="ListRaumReflex">Constants!$B$36:$B$38</definedName>
    <definedName name="ListSoControl">Constants!$B$47:$B$52</definedName>
    <definedName name="ListSoSchu">Constants!$B$40:$B$45</definedName>
    <definedName name="ListSprache">Texte!$C$4:$F$4</definedName>
    <definedName name="ListWindow">OFFSET(Finestre!$B$5,,,COUNTIF(Finestre!$B$5:$B$39,"&gt;"""),)</definedName>
    <definedName name="MatrixAussicht">Constants!$B$58:$C$64</definedName>
    <definedName name="MatrixBauvorhaben">Constants!$B$18:$C$19</definedName>
    <definedName name="MatrixBeleuchtung">Constants!$B$72:$E$105</definedName>
    <definedName name="MatrixHorizont">Constants!$B$54:$C$56</definedName>
    <definedName name="MatrixNutzung">Constants!$B$22:$D$34</definedName>
    <definedName name="MatrixRaumReflex">Constants!$B$36:$C$38</definedName>
    <definedName name="MatrixSoControl">Constants!$B$47:$C$52</definedName>
    <definedName name="MatrixSoSchu">Constants!$B$40:$C$45</definedName>
    <definedName name="MatrixTexteT1">Texte!$A$5:$B$39</definedName>
    <definedName name="MatrixTexteT2">Texte!$A$43:$B$57</definedName>
    <definedName name="MatrixTexteT3">Texte!$A$61:$B$97</definedName>
    <definedName name="MatrixTexteT4">Texte!$A$129:$B$147</definedName>
    <definedName name="MatrixTexteT5">Texte!$A$101:$B$125</definedName>
    <definedName name="MatrixWindow">Finestre!$B$5:$R$39</definedName>
    <definedName name="MaxUFläche">Constants!$B$113</definedName>
    <definedName name="Mindesterfüllung">Constants!$B$111</definedName>
    <definedName name="Nein">Constants!$B$10</definedName>
    <definedName name="Neubau">Constants!$B$18</definedName>
    <definedName name="Nutzung">Riassunto!$B$11</definedName>
    <definedName name="Password">Constants!$B$7</definedName>
    <definedName name="Projektbez">Riassunto!$B$5</definedName>
    <definedName name="Renovationsfaktor">Constants!$D$13</definedName>
    <definedName name="Schulen">Constants!#REF!</definedName>
    <definedName name="SheetDaylight">Texte!$B$248</definedName>
    <definedName name="SheetOverview">Texte!$B$246</definedName>
    <definedName name="SheetQuestionaire">Texte!$B$250</definedName>
    <definedName name="SheetViews">Texte!$B$249</definedName>
    <definedName name="SheetWindow">Texte!$B$247</definedName>
    <definedName name="Sprachwahl">Constants!$B$5</definedName>
    <definedName name="SummeRaumflaeche">Illuminazione_naturale!$S$38</definedName>
    <definedName name="Version">Constants!$B$115</definedName>
    <definedName name="VersionNr">Versionierung!$A$31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39" i="18" l="1" a="1"/>
  <c r="S39" i="18" s="1"/>
  <c r="B111" i="27"/>
  <c r="B11" i="31"/>
  <c r="B12" i="12" s="1"/>
  <c r="B230" i="31"/>
  <c r="B26" i="27" s="1"/>
  <c r="B5" i="32"/>
  <c r="S38" i="18"/>
  <c r="B39" i="31" l="1"/>
  <c r="A59" i="12" s="1"/>
  <c r="B238" i="31"/>
  <c r="B34" i="27" s="1"/>
  <c r="B237" i="31"/>
  <c r="B33" i="27" s="1"/>
  <c r="B236" i="31"/>
  <c r="B32" i="27" s="1"/>
  <c r="B235" i="31"/>
  <c r="B31" i="27" s="1"/>
  <c r="B234" i="31"/>
  <c r="B30" i="27" s="1"/>
  <c r="B233" i="31"/>
  <c r="B29" i="27" s="1"/>
  <c r="B232" i="31"/>
  <c r="B28" i="27" s="1"/>
  <c r="B231" i="31"/>
  <c r="B27" i="27" s="1"/>
  <c r="B229" i="31"/>
  <c r="B25" i="27" s="1"/>
  <c r="B228" i="31"/>
  <c r="B24" i="27" s="1"/>
  <c r="B227" i="31"/>
  <c r="B23" i="27" s="1"/>
  <c r="B226" i="31"/>
  <c r="B22" i="27" s="1"/>
  <c r="B10" i="31"/>
  <c r="A11" i="12" s="1"/>
  <c r="B22" i="31"/>
  <c r="D31" i="12" s="1"/>
  <c r="B113" i="27"/>
  <c r="R35" i="29" l="1"/>
  <c r="R36" i="29"/>
  <c r="R37" i="29"/>
  <c r="R38" i="29"/>
  <c r="R39" i="29"/>
  <c r="A31" i="33" l="1" a="1"/>
  <c r="A31" i="33" s="1"/>
  <c r="B115" i="27" s="1"/>
  <c r="B176" i="31" l="1"/>
  <c r="B97" i="27" s="1"/>
  <c r="B181" i="31" l="1"/>
  <c r="B102" i="27" s="1"/>
  <c r="B195" i="31" l="1"/>
  <c r="B40" i="27" s="1"/>
  <c r="B201" i="31"/>
  <c r="B47" i="27" s="1"/>
  <c r="B190" i="31"/>
  <c r="B41" i="27" s="1"/>
  <c r="W33" i="18"/>
  <c r="I33" i="32" s="1"/>
  <c r="J33" i="32" s="1"/>
  <c r="W34" i="18"/>
  <c r="I34" i="32" s="1"/>
  <c r="J34" i="32" s="1"/>
  <c r="B6" i="31"/>
  <c r="B23" i="31"/>
  <c r="A39" i="12" s="1"/>
  <c r="B24" i="31"/>
  <c r="A41" i="12" s="1"/>
  <c r="B25" i="31"/>
  <c r="A42" i="12" s="1"/>
  <c r="B26" i="31"/>
  <c r="B249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B111" i="31"/>
  <c r="H4" i="32" s="1"/>
  <c r="B112" i="31"/>
  <c r="B36" i="32" s="1"/>
  <c r="B122" i="31"/>
  <c r="H37" i="32" s="1"/>
  <c r="B121" i="31"/>
  <c r="F37" i="32" s="1"/>
  <c r="B120" i="31"/>
  <c r="G37" i="32" s="1"/>
  <c r="B119" i="31"/>
  <c r="E37" i="32" s="1"/>
  <c r="B118" i="31"/>
  <c r="D37" i="32" s="1"/>
  <c r="B117" i="31"/>
  <c r="C37" i="32" s="1"/>
  <c r="B116" i="31"/>
  <c r="B37" i="32" s="1"/>
  <c r="B115" i="31"/>
  <c r="G36" i="32" s="1"/>
  <c r="B114" i="31"/>
  <c r="E36" i="32" s="1"/>
  <c r="B113" i="31"/>
  <c r="C36" i="32" s="1"/>
  <c r="B123" i="31"/>
  <c r="B38" i="32" s="1"/>
  <c r="B124" i="31"/>
  <c r="B125" i="31"/>
  <c r="B40" i="32" s="1"/>
  <c r="B217" i="31"/>
  <c r="B69" i="27" s="1"/>
  <c r="B216" i="31"/>
  <c r="B68" i="27" s="1"/>
  <c r="B215" i="31"/>
  <c r="B67" i="27" s="1"/>
  <c r="B214" i="31"/>
  <c r="B66" i="27" s="1"/>
  <c r="B103" i="31"/>
  <c r="C3" i="32" s="1"/>
  <c r="B107" i="31"/>
  <c r="C4" i="32" s="1"/>
  <c r="B108" i="31"/>
  <c r="D4" i="32" s="1"/>
  <c r="B109" i="31"/>
  <c r="E4" i="32" s="1"/>
  <c r="B106" i="31"/>
  <c r="B4" i="32" s="1"/>
  <c r="B105" i="31"/>
  <c r="B104" i="31"/>
  <c r="B102" i="31"/>
  <c r="B3" i="32" s="1"/>
  <c r="B101" i="31"/>
  <c r="A1" i="32" s="1"/>
  <c r="B211" i="31"/>
  <c r="B63" i="27" s="1"/>
  <c r="B212" i="31"/>
  <c r="B64" i="27" s="1"/>
  <c r="B210" i="31"/>
  <c r="B62" i="27" s="1"/>
  <c r="B209" i="31"/>
  <c r="B61" i="27" s="1"/>
  <c r="B208" i="31"/>
  <c r="B60" i="27" s="1"/>
  <c r="B207" i="31"/>
  <c r="B59" i="27" s="1"/>
  <c r="B206" i="31"/>
  <c r="B58" i="27" s="1"/>
  <c r="F100" i="31"/>
  <c r="E100" i="31"/>
  <c r="D100" i="31"/>
  <c r="C100" i="31"/>
  <c r="B6" i="32"/>
  <c r="B7" i="32"/>
  <c r="B8" i="32"/>
  <c r="B9" i="32"/>
  <c r="B10" i="32"/>
  <c r="B11" i="32"/>
  <c r="B12" i="32"/>
  <c r="B13" i="32"/>
  <c r="B14" i="32"/>
  <c r="B15" i="32"/>
  <c r="B16" i="32"/>
  <c r="B17" i="32"/>
  <c r="B18" i="32"/>
  <c r="B19" i="32"/>
  <c r="B20" i="32"/>
  <c r="B21" i="32"/>
  <c r="B22" i="32"/>
  <c r="B23" i="32"/>
  <c r="B24" i="32"/>
  <c r="B25" i="32"/>
  <c r="B26" i="32"/>
  <c r="B27" i="32"/>
  <c r="B28" i="32"/>
  <c r="B29" i="32"/>
  <c r="B30" i="32"/>
  <c r="B31" i="32"/>
  <c r="B32" i="32"/>
  <c r="B33" i="32"/>
  <c r="B34" i="32"/>
  <c r="B83" i="31"/>
  <c r="R4" i="18" s="1"/>
  <c r="B63" i="31"/>
  <c r="R3" i="18" s="1"/>
  <c r="G3" i="32" s="1"/>
  <c r="S5" i="18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286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366" i="31"/>
  <c r="C365" i="31"/>
  <c r="C364" i="31"/>
  <c r="C363" i="31"/>
  <c r="C358" i="31"/>
  <c r="C357" i="31"/>
  <c r="C356" i="31"/>
  <c r="C355" i="31"/>
  <c r="C350" i="31"/>
  <c r="C349" i="31"/>
  <c r="C348" i="31"/>
  <c r="C347" i="31"/>
  <c r="C339" i="31"/>
  <c r="C340" i="31"/>
  <c r="C341" i="31"/>
  <c r="C342" i="31"/>
  <c r="C362" i="31"/>
  <c r="C361" i="31"/>
  <c r="C354" i="31"/>
  <c r="C353" i="31"/>
  <c r="C346" i="31"/>
  <c r="C345" i="31"/>
  <c r="C338" i="31"/>
  <c r="C337" i="31"/>
  <c r="C334" i="31"/>
  <c r="C333" i="31"/>
  <c r="C330" i="31"/>
  <c r="C329" i="31"/>
  <c r="C326" i="31"/>
  <c r="C325" i="31"/>
  <c r="C322" i="31"/>
  <c r="C321" i="31"/>
  <c r="C318" i="31"/>
  <c r="C317" i="31"/>
  <c r="C314" i="31"/>
  <c r="C313" i="31"/>
  <c r="C310" i="31"/>
  <c r="C309" i="31"/>
  <c r="C305" i="31"/>
  <c r="C306" i="31"/>
  <c r="D360" i="31"/>
  <c r="C360" i="31" s="1"/>
  <c r="D352" i="31"/>
  <c r="C352" i="31" s="1"/>
  <c r="D344" i="31"/>
  <c r="C344" i="31" s="1"/>
  <c r="C343" i="31"/>
  <c r="C351" i="31"/>
  <c r="C359" i="31"/>
  <c r="C256" i="31"/>
  <c r="C257" i="31"/>
  <c r="C285" i="31"/>
  <c r="C302" i="31"/>
  <c r="C303" i="31"/>
  <c r="C304" i="31"/>
  <c r="C307" i="31"/>
  <c r="C308" i="31"/>
  <c r="C311" i="31"/>
  <c r="C312" i="31"/>
  <c r="C315" i="31"/>
  <c r="C316" i="31"/>
  <c r="C319" i="31"/>
  <c r="C320" i="31"/>
  <c r="C323" i="31"/>
  <c r="C324" i="31"/>
  <c r="C327" i="31"/>
  <c r="C328" i="31"/>
  <c r="C331" i="31"/>
  <c r="C332" i="31"/>
  <c r="C335" i="31"/>
  <c r="C255" i="31"/>
  <c r="D336" i="31"/>
  <c r="C336" i="31" s="1"/>
  <c r="S24" i="18"/>
  <c r="K24" i="32" s="1"/>
  <c r="S25" i="18"/>
  <c r="K25" i="32" s="1"/>
  <c r="S26" i="18"/>
  <c r="K26" i="32" s="1"/>
  <c r="S27" i="18"/>
  <c r="K27" i="32" s="1"/>
  <c r="S28" i="18"/>
  <c r="K28" i="32" s="1"/>
  <c r="S29" i="18"/>
  <c r="K29" i="32" s="1"/>
  <c r="S30" i="18"/>
  <c r="K30" i="32" s="1"/>
  <c r="S31" i="18"/>
  <c r="K31" i="32" s="1"/>
  <c r="S32" i="18"/>
  <c r="S33" i="18"/>
  <c r="T33" i="18"/>
  <c r="Y33" i="18"/>
  <c r="AG33" i="18" s="1"/>
  <c r="Z33" i="18"/>
  <c r="AH33" i="18"/>
  <c r="S34" i="18"/>
  <c r="K34" i="32" s="1"/>
  <c r="T34" i="18"/>
  <c r="AB34" i="18" s="1"/>
  <c r="Y34" i="18"/>
  <c r="AG34" i="18" s="1"/>
  <c r="Z34" i="18"/>
  <c r="AH34" i="18"/>
  <c r="B87" i="31"/>
  <c r="N36" i="18" s="1"/>
  <c r="B88" i="31"/>
  <c r="B37" i="18" s="1"/>
  <c r="B86" i="31"/>
  <c r="J36" i="18" s="1"/>
  <c r="B92" i="31"/>
  <c r="J37" i="18" s="1"/>
  <c r="B93" i="31"/>
  <c r="L37" i="18" s="1"/>
  <c r="B91" i="31"/>
  <c r="N37" i="18" s="1"/>
  <c r="B94" i="31"/>
  <c r="P37" i="18" s="1"/>
  <c r="B89" i="31"/>
  <c r="F37" i="18" s="1"/>
  <c r="B90" i="31"/>
  <c r="H37" i="18" s="1"/>
  <c r="B85" i="31"/>
  <c r="F36" i="18" s="1"/>
  <c r="F42" i="31"/>
  <c r="E42" i="31"/>
  <c r="D42" i="31"/>
  <c r="C42" i="31"/>
  <c r="F60" i="31"/>
  <c r="E60" i="31"/>
  <c r="D60" i="31"/>
  <c r="C60" i="31"/>
  <c r="F128" i="31"/>
  <c r="E128" i="31"/>
  <c r="D128" i="31"/>
  <c r="C128" i="31"/>
  <c r="G254" i="31"/>
  <c r="F254" i="31"/>
  <c r="E254" i="31"/>
  <c r="D254" i="31"/>
  <c r="F150" i="31"/>
  <c r="E150" i="31"/>
  <c r="D150" i="31"/>
  <c r="C150" i="31"/>
  <c r="B250" i="31"/>
  <c r="B248" i="31"/>
  <c r="B247" i="31"/>
  <c r="B246" i="31"/>
  <c r="B29" i="31"/>
  <c r="B244" i="31"/>
  <c r="B10" i="27" s="1"/>
  <c r="B243" i="31"/>
  <c r="B9" i="27" s="1"/>
  <c r="B224" i="31"/>
  <c r="B19" i="27" s="1"/>
  <c r="B223" i="31"/>
  <c r="B18" i="27" s="1"/>
  <c r="B147" i="31"/>
  <c r="D29" i="28" s="1"/>
  <c r="B146" i="31"/>
  <c r="D27" i="28" s="1"/>
  <c r="B145" i="31"/>
  <c r="D25" i="28" s="1"/>
  <c r="B144" i="31"/>
  <c r="C23" i="28" s="1"/>
  <c r="B143" i="31"/>
  <c r="B23" i="28" s="1"/>
  <c r="B142" i="31"/>
  <c r="A23" i="28" s="1"/>
  <c r="B141" i="31"/>
  <c r="A21" i="28" s="1"/>
  <c r="B140" i="31"/>
  <c r="B139" i="31"/>
  <c r="B138" i="31"/>
  <c r="B137" i="31"/>
  <c r="A17" i="28" s="1"/>
  <c r="B136" i="31"/>
  <c r="A13" i="28" s="1"/>
  <c r="B135" i="31"/>
  <c r="A11" i="28" s="1"/>
  <c r="B134" i="31"/>
  <c r="A9" i="28" s="1"/>
  <c r="B133" i="31"/>
  <c r="A7" i="28" s="1"/>
  <c r="B132" i="31"/>
  <c r="A5" i="28" s="1"/>
  <c r="B131" i="31"/>
  <c r="E3" i="28" s="1"/>
  <c r="B130" i="31"/>
  <c r="A3" i="28" s="1"/>
  <c r="B129" i="31"/>
  <c r="A1" i="28" s="1"/>
  <c r="B221" i="31"/>
  <c r="B220" i="31"/>
  <c r="E108" i="27" s="1"/>
  <c r="B219" i="31"/>
  <c r="E107" i="27" s="1"/>
  <c r="B204" i="31"/>
  <c r="B56" i="27" s="1"/>
  <c r="Q29" i="29" s="1"/>
  <c r="B203" i="31"/>
  <c r="B55" i="27" s="1"/>
  <c r="B202" i="31"/>
  <c r="B54" i="27" s="1"/>
  <c r="B200" i="31"/>
  <c r="B52" i="27" s="1"/>
  <c r="B199" i="31"/>
  <c r="B51" i="27" s="1"/>
  <c r="B198" i="31"/>
  <c r="B50" i="27" s="1"/>
  <c r="B197" i="31"/>
  <c r="B49" i="27" s="1"/>
  <c r="B196" i="31"/>
  <c r="B48" i="27" s="1"/>
  <c r="P25" i="29" s="1"/>
  <c r="B194" i="31"/>
  <c r="B45" i="27" s="1"/>
  <c r="O28" i="29" s="1"/>
  <c r="B193" i="31"/>
  <c r="B44" i="27" s="1"/>
  <c r="B192" i="31"/>
  <c r="B43" i="27" s="1"/>
  <c r="B191" i="31"/>
  <c r="B42" i="27" s="1"/>
  <c r="B188" i="31"/>
  <c r="B38" i="27" s="1"/>
  <c r="B187" i="31"/>
  <c r="B37" i="27" s="1"/>
  <c r="B186" i="31"/>
  <c r="B36" i="27" s="1"/>
  <c r="B168" i="31"/>
  <c r="B89" i="27" s="1"/>
  <c r="B169" i="31"/>
  <c r="B90" i="27" s="1"/>
  <c r="B170" i="31"/>
  <c r="B91" i="27" s="1"/>
  <c r="B171" i="31"/>
  <c r="B92" i="27" s="1"/>
  <c r="B172" i="31"/>
  <c r="B93" i="27" s="1"/>
  <c r="B173" i="31"/>
  <c r="B94" i="27" s="1"/>
  <c r="B174" i="31"/>
  <c r="B95" i="27" s="1"/>
  <c r="B175" i="31"/>
  <c r="B96" i="27" s="1"/>
  <c r="B177" i="31"/>
  <c r="B98" i="27" s="1"/>
  <c r="B178" i="31"/>
  <c r="B99" i="27" s="1"/>
  <c r="B179" i="31"/>
  <c r="B100" i="27" s="1"/>
  <c r="B180" i="31"/>
  <c r="B101" i="27" s="1"/>
  <c r="B182" i="31"/>
  <c r="B103" i="27" s="1"/>
  <c r="B183" i="31"/>
  <c r="B104" i="27" s="1"/>
  <c r="B184" i="31"/>
  <c r="B105" i="27" s="1"/>
  <c r="AH29" i="18" s="1"/>
  <c r="B167" i="31"/>
  <c r="B88" i="27" s="1"/>
  <c r="B166" i="31"/>
  <c r="B87" i="27" s="1"/>
  <c r="B165" i="31"/>
  <c r="B86" i="27" s="1"/>
  <c r="B164" i="31"/>
  <c r="B85" i="27" s="1"/>
  <c r="B163" i="31"/>
  <c r="B84" i="27" s="1"/>
  <c r="B162" i="31"/>
  <c r="B83" i="27" s="1"/>
  <c r="B161" i="31"/>
  <c r="B82" i="27" s="1"/>
  <c r="B160" i="31"/>
  <c r="B81" i="27" s="1"/>
  <c r="B159" i="31"/>
  <c r="B80" i="27" s="1"/>
  <c r="B158" i="31"/>
  <c r="B79" i="27" s="1"/>
  <c r="B157" i="31"/>
  <c r="B78" i="27" s="1"/>
  <c r="B156" i="31"/>
  <c r="B77" i="27" s="1"/>
  <c r="B155" i="31"/>
  <c r="B76" i="27" s="1"/>
  <c r="B154" i="31"/>
  <c r="B75" i="27" s="1"/>
  <c r="B153" i="31"/>
  <c r="B74" i="27" s="1"/>
  <c r="B152" i="31"/>
  <c r="B73" i="27" s="1"/>
  <c r="B151" i="31"/>
  <c r="B72" i="27" s="1"/>
  <c r="B96" i="31"/>
  <c r="B97" i="31"/>
  <c r="B40" i="18" s="1"/>
  <c r="B73" i="31"/>
  <c r="I4" i="18" s="1"/>
  <c r="B74" i="31"/>
  <c r="J3" i="18" s="1"/>
  <c r="B75" i="31"/>
  <c r="J4" i="18" s="1"/>
  <c r="B76" i="31"/>
  <c r="K4" i="18" s="1"/>
  <c r="B77" i="31"/>
  <c r="L4" i="18" s="1"/>
  <c r="B78" i="31"/>
  <c r="M4" i="18" s="1"/>
  <c r="B79" i="31"/>
  <c r="N4" i="18" s="1"/>
  <c r="B80" i="31"/>
  <c r="O4" i="18" s="1"/>
  <c r="B81" i="31"/>
  <c r="P4" i="18" s="1"/>
  <c r="B82" i="31"/>
  <c r="Q4" i="18" s="1"/>
  <c r="B84" i="31"/>
  <c r="B36" i="18" s="1"/>
  <c r="B95" i="31"/>
  <c r="B38" i="18" s="1"/>
  <c r="B62" i="31"/>
  <c r="B3" i="18" s="1"/>
  <c r="B64" i="31"/>
  <c r="B65" i="31"/>
  <c r="B4" i="18" s="1"/>
  <c r="B66" i="31"/>
  <c r="C4" i="18" s="1"/>
  <c r="B67" i="31"/>
  <c r="D3" i="18" s="1"/>
  <c r="B68" i="31"/>
  <c r="D4" i="18" s="1"/>
  <c r="B69" i="31"/>
  <c r="E4" i="18" s="1"/>
  <c r="B70" i="31"/>
  <c r="F4" i="18" s="1"/>
  <c r="B71" i="31"/>
  <c r="G4" i="18" s="1"/>
  <c r="B72" i="31"/>
  <c r="H4" i="18" s="1"/>
  <c r="B61" i="31"/>
  <c r="A1" i="18" s="1"/>
  <c r="B43" i="31"/>
  <c r="A1" i="29" s="1"/>
  <c r="B45" i="31"/>
  <c r="B4" i="29" s="1"/>
  <c r="B46" i="31"/>
  <c r="C4" i="29" s="1"/>
  <c r="B47" i="31"/>
  <c r="D4" i="29" s="1"/>
  <c r="B48" i="31"/>
  <c r="E4" i="29" s="1"/>
  <c r="B49" i="31"/>
  <c r="F4" i="29" s="1"/>
  <c r="B50" i="31"/>
  <c r="G4" i="29" s="1"/>
  <c r="B51" i="31"/>
  <c r="H4" i="29" s="1"/>
  <c r="B52" i="31"/>
  <c r="I4" i="29" s="1"/>
  <c r="B53" i="31"/>
  <c r="J4" i="29" s="1"/>
  <c r="B54" i="31"/>
  <c r="K3" i="29" s="1"/>
  <c r="B55" i="31"/>
  <c r="K4" i="29" s="1"/>
  <c r="B56" i="31"/>
  <c r="L4" i="29" s="1"/>
  <c r="B57" i="31"/>
  <c r="M4" i="29" s="1"/>
  <c r="B44" i="31"/>
  <c r="B3" i="29" s="1"/>
  <c r="B7" i="31"/>
  <c r="B8" i="31"/>
  <c r="B9" i="31"/>
  <c r="B12" i="31"/>
  <c r="B13" i="31"/>
  <c r="B14" i="31"/>
  <c r="B15" i="31"/>
  <c r="B16" i="31"/>
  <c r="B17" i="31"/>
  <c r="B18" i="31"/>
  <c r="A31" i="12" s="1"/>
  <c r="B19" i="31"/>
  <c r="B20" i="31"/>
  <c r="B21" i="31"/>
  <c r="B27" i="31"/>
  <c r="B28" i="31"/>
  <c r="D47" i="12" s="1"/>
  <c r="B5" i="31"/>
  <c r="B35" i="31"/>
  <c r="B38" i="31"/>
  <c r="S6" i="18"/>
  <c r="K6" i="32" s="1"/>
  <c r="S7" i="18"/>
  <c r="K7" i="32" s="1"/>
  <c r="S8" i="18"/>
  <c r="K8" i="32" s="1"/>
  <c r="S9" i="18"/>
  <c r="K9" i="32" s="1"/>
  <c r="S10" i="18"/>
  <c r="K10" i="32" s="1"/>
  <c r="S11" i="18"/>
  <c r="K11" i="32" s="1"/>
  <c r="S12" i="18"/>
  <c r="K12" i="32" s="1"/>
  <c r="S13" i="18"/>
  <c r="K13" i="32"/>
  <c r="S14" i="18"/>
  <c r="S15" i="18"/>
  <c r="K15" i="32" s="1"/>
  <c r="S16" i="18"/>
  <c r="K16" i="32" s="1"/>
  <c r="S17" i="18"/>
  <c r="K17" i="32" s="1"/>
  <c r="S18" i="18"/>
  <c r="K18" i="32" s="1"/>
  <c r="S19" i="18"/>
  <c r="K19" i="32" s="1"/>
  <c r="S20" i="18"/>
  <c r="K20" i="32" s="1"/>
  <c r="S21" i="18"/>
  <c r="K21" i="32" s="1"/>
  <c r="S22" i="18"/>
  <c r="K22" i="32" s="1"/>
  <c r="S23" i="18"/>
  <c r="K23" i="32" s="1"/>
  <c r="AH13" i="18"/>
  <c r="Y13" i="18"/>
  <c r="AG13" i="18" s="1"/>
  <c r="Q26" i="29"/>
  <c r="Q34" i="29"/>
  <c r="P29" i="29"/>
  <c r="P30" i="29"/>
  <c r="O25" i="29"/>
  <c r="O29" i="29"/>
  <c r="O33" i="29"/>
  <c r="D109" i="27"/>
  <c r="D108" i="27"/>
  <c r="R6" i="29"/>
  <c r="R7" i="29"/>
  <c r="R8" i="29"/>
  <c r="R9" i="29"/>
  <c r="R10" i="29"/>
  <c r="R11" i="29"/>
  <c r="R12" i="29"/>
  <c r="R13" i="29"/>
  <c r="R14" i="29"/>
  <c r="R15" i="29"/>
  <c r="R16" i="29"/>
  <c r="R17" i="29"/>
  <c r="R18" i="29"/>
  <c r="R19" i="29"/>
  <c r="R20" i="29"/>
  <c r="R21" i="29"/>
  <c r="R22" i="29"/>
  <c r="R23" i="29"/>
  <c r="R24" i="29"/>
  <c r="R25" i="29"/>
  <c r="R26" i="29"/>
  <c r="R27" i="29"/>
  <c r="R28" i="29"/>
  <c r="R29" i="29"/>
  <c r="R30" i="29"/>
  <c r="R31" i="29"/>
  <c r="R32" i="29"/>
  <c r="R33" i="29"/>
  <c r="R34" i="29"/>
  <c r="R5" i="29"/>
  <c r="E105" i="27"/>
  <c r="E81" i="27"/>
  <c r="E76" i="27"/>
  <c r="E79" i="27"/>
  <c r="E99" i="27"/>
  <c r="E93" i="27"/>
  <c r="E95" i="27"/>
  <c r="E88" i="27"/>
  <c r="E75" i="27"/>
  <c r="E80" i="27"/>
  <c r="E94" i="27"/>
  <c r="E87" i="27"/>
  <c r="E77" i="27"/>
  <c r="E103" i="27"/>
  <c r="E92" i="27"/>
  <c r="E98" i="27"/>
  <c r="E84" i="27"/>
  <c r="E83" i="27"/>
  <c r="E104" i="27"/>
  <c r="E89" i="27"/>
  <c r="E72" i="27"/>
  <c r="E74" i="27"/>
  <c r="E100" i="27"/>
  <c r="E73" i="27"/>
  <c r="E91" i="27"/>
  <c r="E90" i="27"/>
  <c r="E86" i="27"/>
  <c r="E101" i="27"/>
  <c r="E78" i="27"/>
  <c r="E96" i="27"/>
  <c r="E85" i="27"/>
  <c r="E82" i="27"/>
  <c r="C25" i="28"/>
  <c r="C27" i="28"/>
  <c r="C29" i="28"/>
  <c r="B29" i="28"/>
  <c r="A29" i="28"/>
  <c r="A27" i="28"/>
  <c r="B27" i="28"/>
  <c r="B25" i="28"/>
  <c r="A25" i="28"/>
  <c r="X34" i="18"/>
  <c r="X33" i="18"/>
  <c r="K33" i="32"/>
  <c r="B110" i="31"/>
  <c r="G4" i="32" s="1"/>
  <c r="B39" i="32" l="1"/>
  <c r="B39" i="18"/>
  <c r="F30" i="31"/>
  <c r="E30" i="31"/>
  <c r="C30" i="31"/>
  <c r="D30" i="31"/>
  <c r="E31" i="31"/>
  <c r="C31" i="31"/>
  <c r="B9" i="12"/>
  <c r="O11" i="29"/>
  <c r="A36" i="12"/>
  <c r="E109" i="27"/>
  <c r="K5" i="32"/>
  <c r="Q25" i="29"/>
  <c r="P24" i="29"/>
  <c r="Q35" i="29"/>
  <c r="Q38" i="29"/>
  <c r="Q39" i="29"/>
  <c r="Q37" i="29"/>
  <c r="Q36" i="29"/>
  <c r="O24" i="29"/>
  <c r="O27" i="29"/>
  <c r="P32" i="29"/>
  <c r="Q28" i="29"/>
  <c r="O34" i="29"/>
  <c r="O26" i="29"/>
  <c r="P31" i="29"/>
  <c r="P23" i="29"/>
  <c r="Q27" i="29"/>
  <c r="O32" i="29"/>
  <c r="O31" i="29"/>
  <c r="O23" i="29"/>
  <c r="P28" i="29"/>
  <c r="Q32" i="29"/>
  <c r="Q24" i="29"/>
  <c r="W13" i="18"/>
  <c r="I13" i="32" s="1"/>
  <c r="J13" i="32" s="1"/>
  <c r="L13" i="32" s="1"/>
  <c r="O30" i="29"/>
  <c r="Q31" i="29"/>
  <c r="Q23" i="29"/>
  <c r="P26" i="29"/>
  <c r="Q30" i="29"/>
  <c r="P39" i="29"/>
  <c r="P36" i="29"/>
  <c r="P37" i="29"/>
  <c r="P38" i="29"/>
  <c r="P35" i="29"/>
  <c r="Q33" i="29"/>
  <c r="P27" i="29"/>
  <c r="P34" i="29"/>
  <c r="P33" i="29"/>
  <c r="O35" i="29"/>
  <c r="O36" i="29"/>
  <c r="O37" i="29"/>
  <c r="O38" i="29"/>
  <c r="O39" i="29"/>
  <c r="Z17" i="18"/>
  <c r="A45" i="12"/>
  <c r="B15" i="27"/>
  <c r="AH18" i="18"/>
  <c r="Z10" i="18"/>
  <c r="P6" i="29"/>
  <c r="O10" i="29"/>
  <c r="AH10" i="18"/>
  <c r="Z11" i="18"/>
  <c r="P8" i="29"/>
  <c r="P22" i="29"/>
  <c r="AH17" i="18"/>
  <c r="Z23" i="18"/>
  <c r="Z15" i="18"/>
  <c r="Z8" i="18"/>
  <c r="AH16" i="18"/>
  <c r="AH8" i="18"/>
  <c r="P5" i="29"/>
  <c r="Z16" i="18"/>
  <c r="AH9" i="18"/>
  <c r="Z22" i="18"/>
  <c r="W24" i="18"/>
  <c r="I24" i="32" s="1"/>
  <c r="J24" i="32" s="1"/>
  <c r="L24" i="32" s="1"/>
  <c r="P16" i="29"/>
  <c r="P15" i="29"/>
  <c r="Z7" i="18"/>
  <c r="P14" i="29"/>
  <c r="Z21" i="18"/>
  <c r="Z13" i="18"/>
  <c r="AH22" i="18"/>
  <c r="AH14" i="18"/>
  <c r="O12" i="29"/>
  <c r="W17" i="18"/>
  <c r="I17" i="32" s="1"/>
  <c r="J17" i="32" s="1"/>
  <c r="L17" i="32" s="1"/>
  <c r="AH6" i="18"/>
  <c r="Z9" i="18"/>
  <c r="P7" i="29"/>
  <c r="AH15" i="18"/>
  <c r="Z20" i="18"/>
  <c r="AH21" i="18"/>
  <c r="Z14" i="18"/>
  <c r="Z6" i="18"/>
  <c r="Z19" i="18"/>
  <c r="Z12" i="18"/>
  <c r="AH20" i="18"/>
  <c r="AH12" i="18"/>
  <c r="AH7" i="18"/>
  <c r="Z5" i="18"/>
  <c r="AH23" i="18"/>
  <c r="Z18" i="18"/>
  <c r="AH19" i="18"/>
  <c r="AH11" i="18"/>
  <c r="Z30" i="18"/>
  <c r="O18" i="29"/>
  <c r="P9" i="29"/>
  <c r="W16" i="18"/>
  <c r="I16" i="32" s="1"/>
  <c r="J16" i="32" s="1"/>
  <c r="L16" i="32" s="1"/>
  <c r="Y28" i="18"/>
  <c r="Z26" i="18"/>
  <c r="Y7" i="18"/>
  <c r="AH24" i="18"/>
  <c r="W9" i="18"/>
  <c r="I9" i="32" s="1"/>
  <c r="J9" i="32" s="1"/>
  <c r="L9" i="32" s="1"/>
  <c r="Z24" i="18"/>
  <c r="W8" i="18"/>
  <c r="I8" i="32" s="1"/>
  <c r="J8" i="32" s="1"/>
  <c r="L8" i="32" s="1"/>
  <c r="P13" i="29"/>
  <c r="P12" i="29"/>
  <c r="P19" i="29"/>
  <c r="P11" i="29"/>
  <c r="AH27" i="18"/>
  <c r="P20" i="29"/>
  <c r="P18" i="29"/>
  <c r="P10" i="29"/>
  <c r="Z27" i="18"/>
  <c r="W32" i="18"/>
  <c r="I32" i="32" s="1"/>
  <c r="J32" i="32" s="1"/>
  <c r="L32" i="32" s="1"/>
  <c r="P21" i="29"/>
  <c r="P17" i="29"/>
  <c r="E36" i="31"/>
  <c r="AH30" i="18"/>
  <c r="W25" i="18"/>
  <c r="I25" i="32" s="1"/>
  <c r="J25" i="32" s="1"/>
  <c r="L25" i="32" s="1"/>
  <c r="Q13" i="29"/>
  <c r="Q5" i="29"/>
  <c r="Q12" i="29"/>
  <c r="Q20" i="29"/>
  <c r="Y5" i="18"/>
  <c r="O9" i="29"/>
  <c r="O19" i="29"/>
  <c r="Y22" i="18"/>
  <c r="Y18" i="18"/>
  <c r="Y14" i="18"/>
  <c r="Y10" i="18"/>
  <c r="Y32" i="18"/>
  <c r="Z29" i="18"/>
  <c r="Y26" i="18"/>
  <c r="W26" i="18"/>
  <c r="I26" i="32" s="1"/>
  <c r="J26" i="32" s="1"/>
  <c r="L26" i="32" s="1"/>
  <c r="W18" i="18"/>
  <c r="I18" i="32" s="1"/>
  <c r="J18" i="32" s="1"/>
  <c r="L18" i="32" s="1"/>
  <c r="W10" i="18"/>
  <c r="I10" i="32" s="1"/>
  <c r="J10" i="32" s="1"/>
  <c r="L10" i="32" s="1"/>
  <c r="O16" i="29"/>
  <c r="O8" i="29"/>
  <c r="F37" i="31"/>
  <c r="F36" i="31"/>
  <c r="E37" i="31"/>
  <c r="E33" i="31"/>
  <c r="D37" i="31"/>
  <c r="F33" i="31"/>
  <c r="C37" i="31"/>
  <c r="D36" i="31"/>
  <c r="D33" i="31"/>
  <c r="C36" i="31"/>
  <c r="C33" i="31"/>
  <c r="AH31" i="18"/>
  <c r="Y30" i="18"/>
  <c r="Y27" i="18"/>
  <c r="AH25" i="18"/>
  <c r="Y24" i="18"/>
  <c r="W31" i="18"/>
  <c r="I31" i="32" s="1"/>
  <c r="J31" i="32" s="1"/>
  <c r="L31" i="32" s="1"/>
  <c r="W23" i="18"/>
  <c r="I23" i="32" s="1"/>
  <c r="J23" i="32" s="1"/>
  <c r="L23" i="32" s="1"/>
  <c r="W15" i="18"/>
  <c r="I15" i="32" s="1"/>
  <c r="J15" i="32" s="1"/>
  <c r="L15" i="32" s="1"/>
  <c r="W7" i="18"/>
  <c r="I7" i="32" s="1"/>
  <c r="J7" i="32" s="1"/>
  <c r="L7" i="32" s="1"/>
  <c r="Y17" i="18"/>
  <c r="Y6" i="18"/>
  <c r="O15" i="29"/>
  <c r="Y20" i="18"/>
  <c r="Y16" i="18"/>
  <c r="Y12" i="18"/>
  <c r="Y8" i="18"/>
  <c r="AH5" i="18"/>
  <c r="Z31" i="18"/>
  <c r="AH28" i="18"/>
  <c r="Z25" i="18"/>
  <c r="W30" i="18"/>
  <c r="I30" i="32" s="1"/>
  <c r="J30" i="32" s="1"/>
  <c r="L30" i="32" s="1"/>
  <c r="W22" i="18"/>
  <c r="I22" i="32" s="1"/>
  <c r="J22" i="32" s="1"/>
  <c r="L22" i="32" s="1"/>
  <c r="W14" i="18"/>
  <c r="I14" i="32" s="1"/>
  <c r="J14" i="32" s="1"/>
  <c r="L14" i="32" s="1"/>
  <c r="W6" i="18"/>
  <c r="I6" i="32" s="1"/>
  <c r="J6" i="32" s="1"/>
  <c r="L6" i="32" s="1"/>
  <c r="O17" i="29"/>
  <c r="Y9" i="18"/>
  <c r="O5" i="29"/>
  <c r="O22" i="29"/>
  <c r="O14" i="29"/>
  <c r="Y31" i="18"/>
  <c r="Z28" i="18"/>
  <c r="Y25" i="18"/>
  <c r="W29" i="18"/>
  <c r="I29" i="32" s="1"/>
  <c r="J29" i="32" s="1"/>
  <c r="L29" i="32" s="1"/>
  <c r="W21" i="18"/>
  <c r="I21" i="32" s="1"/>
  <c r="J21" i="32" s="1"/>
  <c r="L21" i="32" s="1"/>
  <c r="Y21" i="18"/>
  <c r="F32" i="31"/>
  <c r="E32" i="31"/>
  <c r="F31" i="31"/>
  <c r="D32" i="31"/>
  <c r="C32" i="31"/>
  <c r="D31" i="31"/>
  <c r="O7" i="29"/>
  <c r="O6" i="29"/>
  <c r="O21" i="29"/>
  <c r="O13" i="29"/>
  <c r="Y23" i="18"/>
  <c r="Y19" i="18"/>
  <c r="Y15" i="18"/>
  <c r="Y11" i="18"/>
  <c r="N24" i="29"/>
  <c r="N35" i="29"/>
  <c r="N36" i="29"/>
  <c r="N39" i="29"/>
  <c r="N37" i="29"/>
  <c r="N38" i="29"/>
  <c r="AH32" i="18"/>
  <c r="AH26" i="18"/>
  <c r="W28" i="18"/>
  <c r="I28" i="32" s="1"/>
  <c r="J28" i="32" s="1"/>
  <c r="L28" i="32" s="1"/>
  <c r="W20" i="18"/>
  <c r="I20" i="32" s="1"/>
  <c r="J20" i="32" s="1"/>
  <c r="L20" i="32" s="1"/>
  <c r="W12" i="18"/>
  <c r="I12" i="32" s="1"/>
  <c r="J12" i="32" s="1"/>
  <c r="L12" i="32" s="1"/>
  <c r="Y29" i="18"/>
  <c r="O20" i="29"/>
  <c r="Z32" i="18"/>
  <c r="F34" i="31"/>
  <c r="E34" i="31"/>
  <c r="D34" i="31"/>
  <c r="C34" i="31"/>
  <c r="W5" i="18"/>
  <c r="I5" i="32" s="1"/>
  <c r="J5" i="32" s="1"/>
  <c r="L5" i="32" s="1"/>
  <c r="W27" i="18"/>
  <c r="I27" i="32" s="1"/>
  <c r="J27" i="32" s="1"/>
  <c r="L27" i="32" s="1"/>
  <c r="W19" i="18"/>
  <c r="I19" i="32" s="1"/>
  <c r="J19" i="32" s="1"/>
  <c r="L19" i="32" s="1"/>
  <c r="W11" i="18"/>
  <c r="I11" i="32" s="1"/>
  <c r="J11" i="32" s="1"/>
  <c r="L11" i="32" s="1"/>
  <c r="Q6" i="29"/>
  <c r="Q18" i="29"/>
  <c r="Q10" i="29"/>
  <c r="Q16" i="29"/>
  <c r="Q8" i="29"/>
  <c r="Q11" i="29"/>
  <c r="Q17" i="29"/>
  <c r="Q15" i="29"/>
  <c r="Q9" i="29"/>
  <c r="Q7" i="29"/>
  <c r="Q19" i="29"/>
  <c r="Q22" i="29"/>
  <c r="Q14" i="29"/>
  <c r="Q21" i="29"/>
  <c r="A44" i="12"/>
  <c r="A58" i="12"/>
  <c r="A17" i="12"/>
  <c r="A8" i="12"/>
  <c r="A47" i="12"/>
  <c r="A26" i="12"/>
  <c r="A3" i="12"/>
  <c r="A14" i="12"/>
  <c r="A29" i="12"/>
  <c r="A37" i="12"/>
  <c r="A23" i="12"/>
  <c r="D1" i="12"/>
  <c r="A33" i="12"/>
  <c r="A5" i="12"/>
  <c r="A34" i="12"/>
  <c r="A20" i="12"/>
  <c r="K14" i="32"/>
  <c r="K32" i="32"/>
  <c r="F240" i="31"/>
  <c r="E240" i="31"/>
  <c r="B13" i="27"/>
  <c r="D13" i="27" s="1"/>
  <c r="AI34" i="18"/>
  <c r="AJ34" i="18" s="1"/>
  <c r="R34" i="18" s="1"/>
  <c r="F241" i="31"/>
  <c r="AI33" i="18"/>
  <c r="AJ33" i="18" s="1"/>
  <c r="R33" i="18" s="1"/>
  <c r="C241" i="31"/>
  <c r="D241" i="31"/>
  <c r="U34" i="18"/>
  <c r="AE34" i="18"/>
  <c r="AC34" i="18"/>
  <c r="AA34" i="18"/>
  <c r="N7" i="29"/>
  <c r="D240" i="31"/>
  <c r="N19" i="29"/>
  <c r="C240" i="31"/>
  <c r="A1" i="12"/>
  <c r="N8" i="29"/>
  <c r="N32" i="29"/>
  <c r="N29" i="29"/>
  <c r="N5" i="29"/>
  <c r="N26" i="29"/>
  <c r="N14" i="29"/>
  <c r="N31" i="29"/>
  <c r="N33" i="29"/>
  <c r="N17" i="29"/>
  <c r="N23" i="29"/>
  <c r="N16" i="29"/>
  <c r="N10" i="29"/>
  <c r="T6" i="18" s="1"/>
  <c r="V6" i="18" s="1"/>
  <c r="AD6" i="18" s="1"/>
  <c r="N27" i="29"/>
  <c r="N12" i="29"/>
  <c r="N21" i="29"/>
  <c r="N22" i="29"/>
  <c r="N20" i="29"/>
  <c r="N28" i="29"/>
  <c r="N15" i="29"/>
  <c r="N30" i="29"/>
  <c r="N13" i="29"/>
  <c r="N6" i="29"/>
  <c r="T11" i="18" s="1"/>
  <c r="U11" i="18" s="1"/>
  <c r="AA11" i="18" s="1"/>
  <c r="N11" i="29"/>
  <c r="T13" i="18" s="1"/>
  <c r="X13" i="18" s="1"/>
  <c r="N34" i="29"/>
  <c r="N18" i="29"/>
  <c r="N9" i="29"/>
  <c r="N25" i="29"/>
  <c r="L33" i="32"/>
  <c r="U33" i="18"/>
  <c r="V33" i="18"/>
  <c r="AD33" i="18" s="1"/>
  <c r="AB33" i="18"/>
  <c r="AA33" i="18"/>
  <c r="AC33" i="18"/>
  <c r="AE33" i="18"/>
  <c r="AI13" i="18"/>
  <c r="AJ13" i="18" s="1"/>
  <c r="R13" i="18" s="1"/>
  <c r="V34" i="18"/>
  <c r="AD34" i="18" s="1"/>
  <c r="B14" i="27"/>
  <c r="E241" i="31"/>
  <c r="L34" i="32"/>
  <c r="H30" i="32" l="1"/>
  <c r="M30" i="32"/>
  <c r="G30" i="32" s="1"/>
  <c r="H15" i="32"/>
  <c r="M15" i="32"/>
  <c r="G15" i="32" s="1"/>
  <c r="H34" i="32"/>
  <c r="M34" i="32"/>
  <c r="G34" i="32" s="1"/>
  <c r="H23" i="32"/>
  <c r="M23" i="32"/>
  <c r="G23" i="32" s="1"/>
  <c r="H21" i="32"/>
  <c r="M21" i="32"/>
  <c r="G21" i="32" s="1"/>
  <c r="H31" i="32"/>
  <c r="M31" i="32"/>
  <c r="G31" i="32" s="1"/>
  <c r="H17" i="32"/>
  <c r="M17" i="32"/>
  <c r="G17" i="32" s="1"/>
  <c r="H29" i="32"/>
  <c r="M29" i="32"/>
  <c r="G29" i="32" s="1"/>
  <c r="H32" i="32"/>
  <c r="M32" i="32"/>
  <c r="G32" i="32" s="1"/>
  <c r="H11" i="32"/>
  <c r="M11" i="32"/>
  <c r="G11" i="32" s="1"/>
  <c r="H33" i="32"/>
  <c r="M33" i="32"/>
  <c r="G33" i="32" s="1"/>
  <c r="H19" i="32"/>
  <c r="M19" i="32"/>
  <c r="G19" i="32" s="1"/>
  <c r="H6" i="32"/>
  <c r="M6" i="32"/>
  <c r="G6" i="32" s="1"/>
  <c r="H16" i="32"/>
  <c r="M16" i="32"/>
  <c r="G16" i="32" s="1"/>
  <c r="H24" i="32"/>
  <c r="M24" i="32"/>
  <c r="G24" i="32" s="1"/>
  <c r="H27" i="32"/>
  <c r="M27" i="32"/>
  <c r="G27" i="32" s="1"/>
  <c r="H14" i="32"/>
  <c r="M14" i="32"/>
  <c r="G14" i="32" s="1"/>
  <c r="H10" i="32"/>
  <c r="M10" i="32"/>
  <c r="G10" i="32" s="1"/>
  <c r="H8" i="32"/>
  <c r="M8" i="32"/>
  <c r="G8" i="32" s="1"/>
  <c r="H13" i="32"/>
  <c r="M13" i="32"/>
  <c r="G13" i="32" s="1"/>
  <c r="H5" i="32"/>
  <c r="C39" i="32" a="1"/>
  <c r="C39" i="32" s="1"/>
  <c r="G39" i="32" s="1"/>
  <c r="M5" i="32"/>
  <c r="G5" i="32" s="1"/>
  <c r="H12" i="32"/>
  <c r="M12" i="32"/>
  <c r="G12" i="32" s="1"/>
  <c r="H22" i="32"/>
  <c r="M22" i="32"/>
  <c r="G22" i="32" s="1"/>
  <c r="H18" i="32"/>
  <c r="M18" i="32"/>
  <c r="G18" i="32" s="1"/>
  <c r="H25" i="32"/>
  <c r="M25" i="32"/>
  <c r="G25" i="32" s="1"/>
  <c r="H7" i="32"/>
  <c r="M7" i="32"/>
  <c r="G7" i="32" s="1"/>
  <c r="H26" i="32"/>
  <c r="M26" i="32"/>
  <c r="G26" i="32" s="1"/>
  <c r="H9" i="32"/>
  <c r="M9" i="32"/>
  <c r="G9" i="32" s="1"/>
  <c r="H20" i="32"/>
  <c r="M20" i="32"/>
  <c r="G20" i="32" s="1"/>
  <c r="H28" i="32"/>
  <c r="M28" i="32"/>
  <c r="G28" i="32" s="1"/>
  <c r="K35" i="32"/>
  <c r="C38" i="32" s="1"/>
  <c r="G38" i="32" s="1"/>
  <c r="C41" i="12" s="1"/>
  <c r="B36" i="31"/>
  <c r="A56" i="12" s="1"/>
  <c r="B33" i="31"/>
  <c r="A49" i="12" s="1"/>
  <c r="B30" i="31"/>
  <c r="B32" i="31"/>
  <c r="A55" i="12" s="1"/>
  <c r="V13" i="18"/>
  <c r="AD13" i="18" s="1"/>
  <c r="U13" i="18"/>
  <c r="AA13" i="18" s="1"/>
  <c r="AB13" i="18"/>
  <c r="AE13" i="18"/>
  <c r="B34" i="31"/>
  <c r="U6" i="18"/>
  <c r="AA6" i="18" s="1"/>
  <c r="AC6" i="18"/>
  <c r="T5" i="18"/>
  <c r="T25" i="18"/>
  <c r="T22" i="18"/>
  <c r="T7" i="18"/>
  <c r="T8" i="18"/>
  <c r="T15" i="18"/>
  <c r="T23" i="18"/>
  <c r="T16" i="18"/>
  <c r="T24" i="18"/>
  <c r="T17" i="18"/>
  <c r="T10" i="18"/>
  <c r="T18" i="18"/>
  <c r="X6" i="18"/>
  <c r="T26" i="18"/>
  <c r="T12" i="18"/>
  <c r="T9" i="18"/>
  <c r="B240" i="31"/>
  <c r="V11" i="18"/>
  <c r="AD11" i="18" s="1"/>
  <c r="X11" i="18"/>
  <c r="AB11" i="18"/>
  <c r="B241" i="31"/>
  <c r="AE11" i="18"/>
  <c r="AC13" i="18"/>
  <c r="T28" i="18"/>
  <c r="T21" i="18"/>
  <c r="T29" i="18"/>
  <c r="T31" i="18"/>
  <c r="T14" i="18"/>
  <c r="T27" i="18"/>
  <c r="T30" i="18"/>
  <c r="T19" i="18"/>
  <c r="T20" i="18"/>
  <c r="AB6" i="18"/>
  <c r="T32" i="18"/>
  <c r="AC11" i="18"/>
  <c r="AE6" i="18"/>
  <c r="A43" i="12"/>
  <c r="A35" i="12"/>
  <c r="B37" i="31"/>
  <c r="B31" i="31"/>
  <c r="A51" i="12" s="1"/>
  <c r="D39" i="32"/>
  <c r="AF34" i="18"/>
  <c r="AF33" i="18"/>
  <c r="A50" i="12" l="1"/>
  <c r="A19" i="28"/>
  <c r="A54" i="12"/>
  <c r="A53" i="12"/>
  <c r="A52" i="12"/>
  <c r="AF13" i="18"/>
  <c r="AF6" i="18"/>
  <c r="AG6" i="18" s="1"/>
  <c r="AI6" i="18" s="1"/>
  <c r="AJ6" i="18" s="1"/>
  <c r="R6" i="18" s="1"/>
  <c r="AF11" i="18"/>
  <c r="AG11" i="18" s="1"/>
  <c r="AI11" i="18" s="1"/>
  <c r="AJ11" i="18" s="1"/>
  <c r="R11" i="18" s="1"/>
  <c r="U26" i="18"/>
  <c r="AA26" i="18" s="1"/>
  <c r="X26" i="18"/>
  <c r="AE26" i="18"/>
  <c r="V26" i="18"/>
  <c r="AD26" i="18" s="1"/>
  <c r="AB26" i="18"/>
  <c r="AC26" i="18"/>
  <c r="V15" i="18"/>
  <c r="AD15" i="18" s="1"/>
  <c r="AE15" i="18"/>
  <c r="AB15" i="18"/>
  <c r="AC15" i="18"/>
  <c r="X15" i="18"/>
  <c r="U15" i="18"/>
  <c r="AA15" i="18" s="1"/>
  <c r="U14" i="18"/>
  <c r="AA14" i="18" s="1"/>
  <c r="X14" i="18"/>
  <c r="AC14" i="18"/>
  <c r="AB14" i="18"/>
  <c r="V14" i="18"/>
  <c r="AD14" i="18" s="1"/>
  <c r="AE14" i="18"/>
  <c r="AE31" i="18"/>
  <c r="AB31" i="18"/>
  <c r="V31" i="18"/>
  <c r="AD31" i="18" s="1"/>
  <c r="X31" i="18"/>
  <c r="U31" i="18"/>
  <c r="AA31" i="18" s="1"/>
  <c r="AC8" i="18"/>
  <c r="U8" i="18"/>
  <c r="AA8" i="18" s="1"/>
  <c r="X8" i="18"/>
  <c r="AE8" i="18"/>
  <c r="V8" i="18"/>
  <c r="AD8" i="18" s="1"/>
  <c r="AB8" i="18"/>
  <c r="AE18" i="18"/>
  <c r="V18" i="18"/>
  <c r="AD18" i="18" s="1"/>
  <c r="X18" i="18"/>
  <c r="AC18" i="18"/>
  <c r="U18" i="18"/>
  <c r="AA18" i="18" s="1"/>
  <c r="AB18" i="18"/>
  <c r="X20" i="18"/>
  <c r="AB20" i="18"/>
  <c r="U20" i="18"/>
  <c r="AA20" i="18" s="1"/>
  <c r="AE20" i="18"/>
  <c r="V20" i="18"/>
  <c r="AD20" i="18" s="1"/>
  <c r="U28" i="18"/>
  <c r="AA28" i="18" s="1"/>
  <c r="V28" i="18"/>
  <c r="AD28" i="18" s="1"/>
  <c r="AC28" i="18"/>
  <c r="AE28" i="18"/>
  <c r="X28" i="18"/>
  <c r="AB28" i="18"/>
  <c r="AC20" i="18"/>
  <c r="X17" i="18"/>
  <c r="U17" i="18"/>
  <c r="AA17" i="18" s="1"/>
  <c r="AE17" i="18"/>
  <c r="V17" i="18"/>
  <c r="AD17" i="18" s="1"/>
  <c r="AB17" i="18"/>
  <c r="AC17" i="18"/>
  <c r="AB25" i="18"/>
  <c r="X25" i="18"/>
  <c r="AC25" i="18"/>
  <c r="U25" i="18"/>
  <c r="AA25" i="18" s="1"/>
  <c r="AE25" i="18"/>
  <c r="V25" i="18"/>
  <c r="AD25" i="18" s="1"/>
  <c r="AE29" i="18"/>
  <c r="X29" i="18"/>
  <c r="U29" i="18"/>
  <c r="AA29" i="18" s="1"/>
  <c r="AB29" i="18"/>
  <c r="V29" i="18"/>
  <c r="AD29" i="18" s="1"/>
  <c r="AC29" i="18"/>
  <c r="AC21" i="18"/>
  <c r="AE21" i="18"/>
  <c r="AB21" i="18"/>
  <c r="X21" i="18"/>
  <c r="V21" i="18"/>
  <c r="AD21" i="18" s="1"/>
  <c r="U21" i="18"/>
  <c r="AA21" i="18" s="1"/>
  <c r="X10" i="18"/>
  <c r="U10" i="18"/>
  <c r="AA10" i="18" s="1"/>
  <c r="AB10" i="18"/>
  <c r="AC10" i="18"/>
  <c r="AE10" i="18"/>
  <c r="V10" i="18"/>
  <c r="AD10" i="18" s="1"/>
  <c r="AE19" i="18"/>
  <c r="AC19" i="18"/>
  <c r="X19" i="18"/>
  <c r="V19" i="18"/>
  <c r="AD19" i="18" s="1"/>
  <c r="U19" i="18"/>
  <c r="AA19" i="18" s="1"/>
  <c r="AB19" i="18"/>
  <c r="X24" i="18"/>
  <c r="U24" i="18"/>
  <c r="AA24" i="18" s="1"/>
  <c r="AB24" i="18"/>
  <c r="AE24" i="18"/>
  <c r="AC24" i="18"/>
  <c r="V24" i="18"/>
  <c r="AD24" i="18" s="1"/>
  <c r="AC5" i="18"/>
  <c r="V5" i="18"/>
  <c r="AD5" i="18" s="1"/>
  <c r="AE5" i="18"/>
  <c r="U5" i="18"/>
  <c r="AA5" i="18" s="1"/>
  <c r="AB5" i="18"/>
  <c r="X5" i="18"/>
  <c r="U32" i="18"/>
  <c r="AA32" i="18" s="1"/>
  <c r="AB32" i="18"/>
  <c r="AE32" i="18"/>
  <c r="X32" i="18"/>
  <c r="V32" i="18"/>
  <c r="AD32" i="18" s="1"/>
  <c r="AC32" i="18"/>
  <c r="V7" i="18"/>
  <c r="AD7" i="18" s="1"/>
  <c r="AC7" i="18"/>
  <c r="X7" i="18"/>
  <c r="AB7" i="18"/>
  <c r="U7" i="18"/>
  <c r="AA7" i="18" s="1"/>
  <c r="AE7" i="18"/>
  <c r="AE22" i="18"/>
  <c r="X22" i="18"/>
  <c r="AC22" i="18"/>
  <c r="AB22" i="18"/>
  <c r="V22" i="18"/>
  <c r="AD22" i="18" s="1"/>
  <c r="U22" i="18"/>
  <c r="AA22" i="18" s="1"/>
  <c r="AE30" i="18"/>
  <c r="X30" i="18"/>
  <c r="AB30" i="18"/>
  <c r="V30" i="18"/>
  <c r="AD30" i="18" s="1"/>
  <c r="U30" i="18"/>
  <c r="AA30" i="18" s="1"/>
  <c r="AC30" i="18"/>
  <c r="AC31" i="18"/>
  <c r="AC9" i="18"/>
  <c r="U9" i="18"/>
  <c r="AA9" i="18" s="1"/>
  <c r="X9" i="18"/>
  <c r="AE9" i="18"/>
  <c r="AB9" i="18"/>
  <c r="V9" i="18"/>
  <c r="AD9" i="18" s="1"/>
  <c r="AC16" i="18"/>
  <c r="V16" i="18"/>
  <c r="AD16" i="18" s="1"/>
  <c r="AE16" i="18"/>
  <c r="U16" i="18"/>
  <c r="AA16" i="18" s="1"/>
  <c r="X16" i="18"/>
  <c r="AB16" i="18"/>
  <c r="U27" i="18"/>
  <c r="AA27" i="18" s="1"/>
  <c r="V27" i="18"/>
  <c r="AD27" i="18" s="1"/>
  <c r="AC27" i="18"/>
  <c r="AB27" i="18"/>
  <c r="X27" i="18"/>
  <c r="AE27" i="18"/>
  <c r="U12" i="18"/>
  <c r="AA12" i="18" s="1"/>
  <c r="X12" i="18"/>
  <c r="AE12" i="18"/>
  <c r="AB12" i="18"/>
  <c r="AC12" i="18"/>
  <c r="V12" i="18"/>
  <c r="AD12" i="18" s="1"/>
  <c r="AE23" i="18"/>
  <c r="AB23" i="18"/>
  <c r="V23" i="18"/>
  <c r="AD23" i="18" s="1"/>
  <c r="U23" i="18"/>
  <c r="AA23" i="18" s="1"/>
  <c r="X23" i="18"/>
  <c r="AC23" i="18"/>
  <c r="A57" i="12"/>
  <c r="C42" i="12"/>
  <c r="H39" i="32"/>
  <c r="AF5" i="18" l="1"/>
  <c r="AG5" i="18" s="1"/>
  <c r="AI5" i="18" s="1"/>
  <c r="AJ5" i="18" s="1"/>
  <c r="R5" i="18" s="1"/>
  <c r="AF26" i="18"/>
  <c r="AG26" i="18" s="1"/>
  <c r="AI26" i="18" s="1"/>
  <c r="AJ26" i="18" s="1"/>
  <c r="R26" i="18" s="1"/>
  <c r="AF27" i="18"/>
  <c r="AG27" i="18" s="1"/>
  <c r="AI27" i="18" s="1"/>
  <c r="AJ27" i="18" s="1"/>
  <c r="R27" i="18" s="1"/>
  <c r="AF29" i="18"/>
  <c r="AG29" i="18" s="1"/>
  <c r="AI29" i="18" s="1"/>
  <c r="AJ29" i="18" s="1"/>
  <c r="R29" i="18" s="1"/>
  <c r="AF20" i="18"/>
  <c r="AG20" i="18" s="1"/>
  <c r="AI20" i="18" s="1"/>
  <c r="AJ20" i="18" s="1"/>
  <c r="R20" i="18" s="1"/>
  <c r="AF12" i="18"/>
  <c r="AG12" i="18" s="1"/>
  <c r="AI12" i="18" s="1"/>
  <c r="AJ12" i="18" s="1"/>
  <c r="R12" i="18" s="1"/>
  <c r="AF14" i="18"/>
  <c r="AG14" i="18" s="1"/>
  <c r="AI14" i="18" s="1"/>
  <c r="AJ14" i="18" s="1"/>
  <c r="R14" i="18" s="1"/>
  <c r="AF7" i="18"/>
  <c r="AG7" i="18" s="1"/>
  <c r="AI7" i="18" s="1"/>
  <c r="AJ7" i="18" s="1"/>
  <c r="R7" i="18" s="1"/>
  <c r="AF24" i="18"/>
  <c r="AG24" i="18" s="1"/>
  <c r="AI24" i="18" s="1"/>
  <c r="AJ24" i="18" s="1"/>
  <c r="R24" i="18" s="1"/>
  <c r="AF28" i="18"/>
  <c r="AG28" i="18" s="1"/>
  <c r="AI28" i="18" s="1"/>
  <c r="AJ28" i="18" s="1"/>
  <c r="R28" i="18" s="1"/>
  <c r="AF9" i="18"/>
  <c r="AG9" i="18" s="1"/>
  <c r="AI9" i="18" s="1"/>
  <c r="AJ9" i="18" s="1"/>
  <c r="R9" i="18" s="1"/>
  <c r="AF22" i="18"/>
  <c r="AG22" i="18" s="1"/>
  <c r="AI22" i="18" s="1"/>
  <c r="AJ22" i="18" s="1"/>
  <c r="R22" i="18" s="1"/>
  <c r="AF19" i="18"/>
  <c r="AG19" i="18" s="1"/>
  <c r="AI19" i="18" s="1"/>
  <c r="AJ19" i="18" s="1"/>
  <c r="R19" i="18" s="1"/>
  <c r="AF15" i="18"/>
  <c r="AG15" i="18" s="1"/>
  <c r="AI15" i="18" s="1"/>
  <c r="AJ15" i="18" s="1"/>
  <c r="R15" i="18" s="1"/>
  <c r="AF32" i="18"/>
  <c r="AG32" i="18" s="1"/>
  <c r="AI32" i="18" s="1"/>
  <c r="AJ32" i="18" s="1"/>
  <c r="R32" i="18" s="1"/>
  <c r="AF10" i="18"/>
  <c r="AG10" i="18" s="1"/>
  <c r="AI10" i="18" s="1"/>
  <c r="AJ10" i="18" s="1"/>
  <c r="R10" i="18" s="1"/>
  <c r="AF25" i="18"/>
  <c r="AG25" i="18" s="1"/>
  <c r="AI25" i="18" s="1"/>
  <c r="AJ25" i="18" s="1"/>
  <c r="R25" i="18" s="1"/>
  <c r="AF17" i="18"/>
  <c r="AG17" i="18" s="1"/>
  <c r="AI17" i="18" s="1"/>
  <c r="AJ17" i="18" s="1"/>
  <c r="R17" i="18" s="1"/>
  <c r="AF18" i="18"/>
  <c r="AG18" i="18" s="1"/>
  <c r="AI18" i="18" s="1"/>
  <c r="AJ18" i="18" s="1"/>
  <c r="R18" i="18" s="1"/>
  <c r="AF16" i="18"/>
  <c r="AG16" i="18" s="1"/>
  <c r="AI16" i="18" s="1"/>
  <c r="AJ16" i="18" s="1"/>
  <c r="R16" i="18" s="1"/>
  <c r="AF8" i="18"/>
  <c r="AG8" i="18" s="1"/>
  <c r="AI8" i="18" s="1"/>
  <c r="AJ8" i="18" s="1"/>
  <c r="R8" i="18" s="1"/>
  <c r="AF23" i="18"/>
  <c r="AG23" i="18" s="1"/>
  <c r="AI23" i="18" s="1"/>
  <c r="AJ23" i="18" s="1"/>
  <c r="R23" i="18" s="1"/>
  <c r="AF30" i="18"/>
  <c r="AG30" i="18" s="1"/>
  <c r="AI30" i="18" s="1"/>
  <c r="AJ30" i="18" s="1"/>
  <c r="R30" i="18" s="1"/>
  <c r="AF21" i="18"/>
  <c r="AG21" i="18" s="1"/>
  <c r="AI21" i="18" s="1"/>
  <c r="AJ21" i="18" s="1"/>
  <c r="R21" i="18" s="1"/>
  <c r="AF31" i="18"/>
  <c r="AG31" i="18" s="1"/>
  <c r="AI31" i="18" s="1"/>
  <c r="AJ31" i="18" s="1"/>
  <c r="R31" i="18" s="1"/>
  <c r="C43" i="12"/>
  <c r="P38" i="18"/>
  <c r="F39" i="18"/>
  <c r="N39" i="18" s="1"/>
  <c r="C34" i="12" s="1"/>
  <c r="F38" i="18"/>
  <c r="N38" i="18" s="1"/>
  <c r="C33" i="12" s="1"/>
  <c r="L35" i="32"/>
  <c r="AJ38" i="18"/>
  <c r="H38" i="18" s="1"/>
  <c r="G40" i="32" l="1"/>
  <c r="C45" i="12" s="1"/>
  <c r="D38" i="32"/>
  <c r="C36" i="12"/>
  <c r="P39" i="18"/>
  <c r="H39" i="18"/>
  <c r="M35" i="32"/>
  <c r="L38" i="32"/>
  <c r="M38" i="32" s="1"/>
  <c r="H38" i="32" s="1"/>
  <c r="C44" i="12" s="1"/>
  <c r="C35" i="12" l="1"/>
  <c r="N40" i="18"/>
  <c r="C3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Severin Lenel</author>
  </authors>
  <commentList>
    <comment ref="A246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Achtung:</t>
        </r>
        <r>
          <rPr>
            <sz val="9"/>
            <color indexed="81"/>
            <rFont val="Tahoma"/>
            <family val="2"/>
          </rPr>
          <t xml:space="preserve">
Die Namen der Tabellen Fenster und Tageslicht dürfen keine Leerzeichen enthalten.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<sst xmlns="http://schemas.openxmlformats.org/spreadsheetml/2006/main" count="1663" uniqueCount="1143">
  <si>
    <t>Hörsaal</t>
  </si>
  <si>
    <t>Zusammenfassung</t>
  </si>
  <si>
    <t>Datum</t>
  </si>
  <si>
    <t>Architekt</t>
  </si>
  <si>
    <t>Elektroplanung</t>
  </si>
  <si>
    <t>Ersteller Nachweis</t>
  </si>
  <si>
    <t>Beleuchtungsplanung</t>
  </si>
  <si>
    <t>Typische Räume</t>
  </si>
  <si>
    <t>Grossraumbüro</t>
  </si>
  <si>
    <t>Sitzungszimmer</t>
  </si>
  <si>
    <t>Schulzimmer</t>
  </si>
  <si>
    <t>Restaurant</t>
  </si>
  <si>
    <t>Selbstbedienungsrestaurant</t>
  </si>
  <si>
    <t>Fitnessraum</t>
  </si>
  <si>
    <t>Hotel-Empfang/Lobby</t>
  </si>
  <si>
    <t>Schule</t>
  </si>
  <si>
    <t>Mehrzweckhalle</t>
  </si>
  <si>
    <t>Ausstellungshalle</t>
  </si>
  <si>
    <t xml:space="preserve">Stationszimmer </t>
  </si>
  <si>
    <t>Produktion (grobe Arbeit)</t>
  </si>
  <si>
    <t>Produktion (feine Arbeit)</t>
  </si>
  <si>
    <t>normal</t>
  </si>
  <si>
    <t>Neubau</t>
  </si>
  <si>
    <t>Bauherr</t>
  </si>
  <si>
    <t>Länge
m</t>
  </si>
  <si>
    <t>Tiefe
m</t>
  </si>
  <si>
    <t>Höhe
m</t>
  </si>
  <si>
    <t>Küche zu Restaurant</t>
  </si>
  <si>
    <t>Küche SB-Restaurant</t>
  </si>
  <si>
    <t>Vorstellungsraum</t>
  </si>
  <si>
    <t>Hotelzimmer</t>
  </si>
  <si>
    <t>Wohnen</t>
  </si>
  <si>
    <t>Projektwert 
Tageslichtstd.
h/a</t>
  </si>
  <si>
    <t>Maximale
Tageslichtstd.
h/d</t>
  </si>
  <si>
    <t>Erfüllungs-
grad
%</t>
  </si>
  <si>
    <t>Berechnung der Vollaststunden Projektwert</t>
  </si>
  <si>
    <t>Typischer Raum</t>
  </si>
  <si>
    <t>Anzahl
Stk</t>
  </si>
  <si>
    <t>Raum-Reflexion
-</t>
  </si>
  <si>
    <t>Objektdaten</t>
  </si>
  <si>
    <t>Name</t>
  </si>
  <si>
    <t>New Construction</t>
  </si>
  <si>
    <t>Renovation</t>
  </si>
  <si>
    <t>Sie müssen einen Eintrag aus der Liste wählen.</t>
  </si>
  <si>
    <t>Deutsch</t>
  </si>
  <si>
    <t>Italiano</t>
  </si>
  <si>
    <t>English</t>
  </si>
  <si>
    <t>Projektbezeichnung</t>
  </si>
  <si>
    <t>Nr.</t>
  </si>
  <si>
    <t>Fragen</t>
  </si>
  <si>
    <t>Antwort</t>
  </si>
  <si>
    <t>Nein</t>
  </si>
  <si>
    <t>Ja</t>
  </si>
  <si>
    <t>Werden die Fensteröffnungen grundsätzlich beibehalten oder vergrössert?</t>
  </si>
  <si>
    <t>Werden die Glasflächen grundsätzlich beibehalten oder vergrössert?</t>
  </si>
  <si>
    <t>Wurden die Räume grundsätzlich (mind. Decken und Wände) mit heller Farben gestrichen?</t>
  </si>
  <si>
    <t>Verwaltung</t>
  </si>
  <si>
    <t>Werden keine Elemente (z.B. Balkone, Vordächer) an die Fassade gebaut, welche den Tageslichteinfall verschlechtert?</t>
  </si>
  <si>
    <t>Gebäude mit einem eher kleinen Anteil Fenster- an Fassadenfläche</t>
  </si>
  <si>
    <t>Gebäude mit einem mittleren Anteil Fenster- an Fassadenfläche</t>
  </si>
  <si>
    <t>Gebäude mit einem grossen Anteil Fenster- an Fassadenfläche</t>
  </si>
  <si>
    <t>Hauptnutzung</t>
  </si>
  <si>
    <t>Fenster</t>
  </si>
  <si>
    <t>Anzahl</t>
  </si>
  <si>
    <t>Raumdaten</t>
  </si>
  <si>
    <t>Typ
-</t>
  </si>
  <si>
    <t>Fensterdaten</t>
  </si>
  <si>
    <t>Breite</t>
  </si>
  <si>
    <t>Höhe</t>
  </si>
  <si>
    <t>Tau</t>
  </si>
  <si>
    <t>Sonnenschutz</t>
  </si>
  <si>
    <t>Kürzel</t>
  </si>
  <si>
    <t>Bezeichnung</t>
  </si>
  <si>
    <t>Breite
m</t>
  </si>
  <si>
    <t>Tau
%</t>
  </si>
  <si>
    <t>Sonnenschutz
-</t>
  </si>
  <si>
    <t>Bezeichnung
-</t>
  </si>
  <si>
    <t>Kürzel
-</t>
  </si>
  <si>
    <t>Sturzhöhe
m</t>
  </si>
  <si>
    <t>Steuerung
-</t>
  </si>
  <si>
    <t>Horizontverschattung</t>
  </si>
  <si>
    <t>Freie Sicht, keine oder geringe Verschattung durch Umgebung</t>
  </si>
  <si>
    <t>Mittlere Verschattung, Verbauungshöhenwinkel 15°-35°</t>
  </si>
  <si>
    <t>In der Stadt oder grosse Verschattung durch Umgebung</t>
  </si>
  <si>
    <t>Beleuchtungsstärke</t>
  </si>
  <si>
    <t>Raumnutzung</t>
  </si>
  <si>
    <t>Einzel-, Gruppenbüro</t>
  </si>
  <si>
    <t>Schalterhalle, Empfang</t>
  </si>
  <si>
    <t>Lehrerzimmer</t>
  </si>
  <si>
    <t>Bibliothek</t>
  </si>
  <si>
    <t>Schulfachraum</t>
  </si>
  <si>
    <t>Lebensmittelverkauf</t>
  </si>
  <si>
    <t>Fachgeschäft</t>
  </si>
  <si>
    <t>Verkauf Möbel, Bau, Garten</t>
  </si>
  <si>
    <t>Laborraum</t>
  </si>
  <si>
    <t>Küche, Teeküche</t>
  </si>
  <si>
    <r>
      <t>E</t>
    </r>
    <r>
      <rPr>
        <b/>
        <vertAlign val="subscript"/>
        <sz val="9"/>
        <rFont val="Arial"/>
        <family val="2"/>
      </rPr>
      <t>vm</t>
    </r>
  </si>
  <si>
    <r>
      <t>k</t>
    </r>
    <r>
      <rPr>
        <b/>
        <vertAlign val="subscript"/>
        <sz val="9"/>
        <rFont val="Arial"/>
        <family val="2"/>
      </rPr>
      <t>0</t>
    </r>
  </si>
  <si>
    <r>
      <t>E</t>
    </r>
    <r>
      <rPr>
        <b/>
        <vertAlign val="subscript"/>
        <sz val="9"/>
        <rFont val="Arial"/>
        <family val="2"/>
      </rPr>
      <t>0</t>
    </r>
  </si>
  <si>
    <t>Wohn-, Schlafzimmer</t>
  </si>
  <si>
    <t>Helle Lamellen mit Umlenksystem</t>
  </si>
  <si>
    <t>Helle Lamellen ohne Umlenksystem</t>
  </si>
  <si>
    <t>Mittelhelle Lamellen, lichtdurchlässiger Stoff</t>
  </si>
  <si>
    <t>Lichtundurchlässiger Behang</t>
  </si>
  <si>
    <t>Sonnenschutzsteuerung</t>
  </si>
  <si>
    <t>Motorbetrieben, automatisch, Lamellennachführung</t>
  </si>
  <si>
    <t>Motorbetrieben, automatisch</t>
  </si>
  <si>
    <t>Manuell</t>
  </si>
  <si>
    <t>Motorbetrieben, automatisch, Berücks. Verschattung</t>
  </si>
  <si>
    <t>Motorbetrieben, manuell</t>
  </si>
  <si>
    <t>Steuerung</t>
  </si>
  <si>
    <t>Verschattung
-</t>
  </si>
  <si>
    <t>Oberlicht
-</t>
  </si>
  <si>
    <t>Raumreflexion</t>
  </si>
  <si>
    <t>Hell</t>
  </si>
  <si>
    <t>Dunkel</t>
  </si>
  <si>
    <t>Normal</t>
  </si>
  <si>
    <t>Typ 1
-</t>
  </si>
  <si>
    <t>Typ 2
-</t>
  </si>
  <si>
    <t>Typ 3
-</t>
  </si>
  <si>
    <t>Typ 4
-</t>
  </si>
  <si>
    <t>Ergebnisse</t>
  </si>
  <si>
    <t>Zwischenergebnisse</t>
  </si>
  <si>
    <t>Mittlere Sturzhöhe
m</t>
  </si>
  <si>
    <t>Mittlerer Tau-Wert
%</t>
  </si>
  <si>
    <t>Verschattung</t>
  </si>
  <si>
    <t>Glasanteil
%</t>
  </si>
  <si>
    <t>Bewertungsskala</t>
  </si>
  <si>
    <t>Gut</t>
  </si>
  <si>
    <t>Befriedigend</t>
  </si>
  <si>
    <t>Ungenügend</t>
  </si>
  <si>
    <t>Summen</t>
  </si>
  <si>
    <t>Mindesterfüllung</t>
  </si>
  <si>
    <t>MaxUFläche</t>
  </si>
  <si>
    <t>Version</t>
  </si>
  <si>
    <t>Erfasste Raumfläche total</t>
  </si>
  <si>
    <t>m2</t>
  </si>
  <si>
    <t>Raumfläche mit ungenügendem Ergebnis</t>
  </si>
  <si>
    <t>%</t>
  </si>
  <si>
    <t>Kurzanleitung</t>
  </si>
  <si>
    <r>
      <t>m</t>
    </r>
    <r>
      <rPr>
        <vertAlign val="superscript"/>
        <sz val="10"/>
        <rFont val="Arial"/>
        <family val="2"/>
      </rPr>
      <t>2</t>
    </r>
  </si>
  <si>
    <r>
      <t>Glasfläche
m</t>
    </r>
    <r>
      <rPr>
        <vertAlign val="superscript"/>
        <sz val="10"/>
        <color indexed="9"/>
        <rFont val="Arial"/>
        <family val="2"/>
      </rPr>
      <t>2</t>
    </r>
  </si>
  <si>
    <r>
      <t>Balkon k</t>
    </r>
    <r>
      <rPr>
        <vertAlign val="subscript"/>
        <sz val="10"/>
        <color indexed="9"/>
        <rFont val="Arial"/>
        <family val="2"/>
      </rPr>
      <t>B
-</t>
    </r>
  </si>
  <si>
    <t>Sonnenschutz und Verschattung</t>
  </si>
  <si>
    <t>Berechnungen</t>
  </si>
  <si>
    <t>Auskragung
m</t>
  </si>
  <si>
    <t>Dunkle Lamellen, wenig durchlässiger Stoff</t>
  </si>
  <si>
    <r>
      <t>Raum-fläche
m</t>
    </r>
    <r>
      <rPr>
        <vertAlign val="superscript"/>
        <sz val="10"/>
        <color indexed="9"/>
        <rFont val="Arial"/>
        <family val="2"/>
      </rPr>
      <t>2</t>
    </r>
  </si>
  <si>
    <r>
      <t>F/B
z</t>
    </r>
    <r>
      <rPr>
        <vertAlign val="subscript"/>
        <sz val="10"/>
        <color indexed="9"/>
        <rFont val="Arial"/>
        <family val="2"/>
      </rPr>
      <t>g</t>
    </r>
  </si>
  <si>
    <r>
      <t>Max. F/B
z</t>
    </r>
    <r>
      <rPr>
        <vertAlign val="subscript"/>
        <sz val="10"/>
        <color indexed="9"/>
        <rFont val="Arial"/>
        <family val="2"/>
      </rPr>
      <t>g0</t>
    </r>
  </si>
  <si>
    <r>
      <t>Refle-xion
k</t>
    </r>
    <r>
      <rPr>
        <vertAlign val="subscript"/>
        <sz val="10"/>
        <color indexed="9"/>
        <rFont val="Arial"/>
        <family val="2"/>
      </rPr>
      <t>Re</t>
    </r>
  </si>
  <si>
    <r>
      <t>Trans-mission
k</t>
    </r>
    <r>
      <rPr>
        <vertAlign val="subscript"/>
        <sz val="10"/>
        <color indexed="9"/>
        <rFont val="Arial"/>
        <family val="2"/>
      </rPr>
      <t>T</t>
    </r>
  </si>
  <si>
    <r>
      <t>Sonnen-schutz
k</t>
    </r>
    <r>
      <rPr>
        <vertAlign val="subscript"/>
        <sz val="10"/>
        <color indexed="9"/>
        <rFont val="Arial"/>
        <family val="2"/>
      </rPr>
      <t>Sp</t>
    </r>
  </si>
  <si>
    <r>
      <t>Umge-bung
k</t>
    </r>
    <r>
      <rPr>
        <vertAlign val="subscript"/>
        <sz val="10"/>
        <color indexed="9"/>
        <rFont val="Arial"/>
        <family val="2"/>
      </rPr>
      <t>sur</t>
    </r>
  </si>
  <si>
    <r>
      <t>Sturz
k</t>
    </r>
    <r>
      <rPr>
        <vertAlign val="subscript"/>
        <sz val="10"/>
        <color indexed="9"/>
        <rFont val="Arial"/>
        <family val="2"/>
      </rPr>
      <t>Ii</t>
    </r>
  </si>
  <si>
    <r>
      <t>Balkon
k</t>
    </r>
    <r>
      <rPr>
        <vertAlign val="subscript"/>
        <sz val="10"/>
        <color indexed="9"/>
        <rFont val="Arial"/>
        <family val="2"/>
      </rPr>
      <t>B</t>
    </r>
  </si>
  <si>
    <r>
      <t>Min. Voll-laststd. t</t>
    </r>
    <r>
      <rPr>
        <vertAlign val="subscript"/>
        <sz val="10"/>
        <color indexed="9"/>
        <rFont val="Arial"/>
        <family val="2"/>
      </rPr>
      <t>L,min.</t>
    </r>
  </si>
  <si>
    <t>gut erfüllt</t>
  </si>
  <si>
    <t>erfüllt</t>
  </si>
  <si>
    <t>nicht erfüllt</t>
  </si>
  <si>
    <t>Konstanten</t>
  </si>
  <si>
    <t>Texte</t>
  </si>
  <si>
    <t>ID</t>
  </si>
  <si>
    <t>Gewählt</t>
  </si>
  <si>
    <t>A3</t>
  </si>
  <si>
    <t>A1</t>
  </si>
  <si>
    <t>A5</t>
  </si>
  <si>
    <t>A8</t>
  </si>
  <si>
    <t>A11</t>
  </si>
  <si>
    <t>A17</t>
  </si>
  <si>
    <t>A23</t>
  </si>
  <si>
    <t>Tabelle Fenster</t>
  </si>
  <si>
    <t>Francais</t>
  </si>
  <si>
    <t>Tabelle Überblick</t>
  </si>
  <si>
    <t>B4</t>
  </si>
  <si>
    <t>C4</t>
  </si>
  <si>
    <t>D4</t>
  </si>
  <si>
    <t>E4</t>
  </si>
  <si>
    <t>F4</t>
  </si>
  <si>
    <t>G4</t>
  </si>
  <si>
    <t>H4</t>
  </si>
  <si>
    <t>I4</t>
  </si>
  <si>
    <t>J4</t>
  </si>
  <si>
    <t>B3</t>
  </si>
  <si>
    <t>K3</t>
  </si>
  <si>
    <t>K4</t>
  </si>
  <si>
    <t>L4</t>
  </si>
  <si>
    <t>M4</t>
  </si>
  <si>
    <t>Tabelle Tageslicht</t>
  </si>
  <si>
    <t>Typische Räume und Tageslicht</t>
  </si>
  <si>
    <t>Fläche
m2</t>
  </si>
  <si>
    <t>A4</t>
  </si>
  <si>
    <t>D3</t>
  </si>
  <si>
    <t>J3</t>
  </si>
  <si>
    <t>N4</t>
  </si>
  <si>
    <t>O4</t>
  </si>
  <si>
    <t>P4</t>
  </si>
  <si>
    <t>Q4</t>
  </si>
  <si>
    <t>Auswahlfelder und Textkonstanten</t>
  </si>
  <si>
    <t>Bewertung</t>
  </si>
  <si>
    <t>E3</t>
  </si>
  <si>
    <t>A7</t>
  </si>
  <si>
    <t>A9</t>
  </si>
  <si>
    <t>A13</t>
  </si>
  <si>
    <t>A19</t>
  </si>
  <si>
    <t>A21</t>
  </si>
  <si>
    <t>Bemerkung Typ</t>
  </si>
  <si>
    <t>JaNein</t>
  </si>
  <si>
    <t>B23</t>
  </si>
  <si>
    <t>C23</t>
  </si>
  <si>
    <t>D25</t>
  </si>
  <si>
    <t>D27</t>
  </si>
  <si>
    <t>D29</t>
  </si>
  <si>
    <t>Objet</t>
  </si>
  <si>
    <t>Projet</t>
  </si>
  <si>
    <t>Maître de l'ouvrage</t>
  </si>
  <si>
    <t>Architecte</t>
  </si>
  <si>
    <t>Planificateur électricité</t>
  </si>
  <si>
    <t>Planificateur éclairage</t>
  </si>
  <si>
    <t>Date</t>
  </si>
  <si>
    <t xml:space="preserve">Surface avec un résultat insuffisant </t>
  </si>
  <si>
    <t>Procédé</t>
  </si>
  <si>
    <t>sont remplies</t>
  </si>
  <si>
    <t>ne sont pas remplies</t>
  </si>
  <si>
    <t>sont bien remplies</t>
  </si>
  <si>
    <t>Locaux types et lumière du jour</t>
  </si>
  <si>
    <t>Locaux types</t>
  </si>
  <si>
    <t>Lon-gueur
m</t>
  </si>
  <si>
    <t>Pro-fondeur m</t>
  </si>
  <si>
    <t>Hauteur
m</t>
  </si>
  <si>
    <t>Surface nette
m2</t>
  </si>
  <si>
    <t>Nombre pce</t>
  </si>
  <si>
    <t>Donées du local</t>
  </si>
  <si>
    <t>Mix de réflexion
-</t>
  </si>
  <si>
    <t>Fenêtres</t>
  </si>
  <si>
    <t>Type 1
-</t>
  </si>
  <si>
    <t>Type 2
-</t>
  </si>
  <si>
    <t>Type 3
-</t>
  </si>
  <si>
    <t>Type 4
-</t>
  </si>
  <si>
    <t>Résultats</t>
  </si>
  <si>
    <t>Quéstions</t>
  </si>
  <si>
    <t>Réponse</t>
  </si>
  <si>
    <t>Compte-rendu</t>
  </si>
  <si>
    <t>CET ONGLET NE DOIT ÊTRE REMPLI QUE DANS LE CAS D’UNE RÉNOVATION</t>
  </si>
  <si>
    <t>Habitat</t>
  </si>
  <si>
    <t>Administration</t>
  </si>
  <si>
    <t>École</t>
  </si>
  <si>
    <t>Bâtiments avec une faible proportion de fenêtres</t>
  </si>
  <si>
    <t>Bâtiment avec une proportion élevée de fenêtres</t>
  </si>
  <si>
    <t xml:space="preserve">Eine ausführliche Anleitung finden Sie auf der Minergie-Website.  </t>
  </si>
  <si>
    <t>Hauteur du linteau 
m</t>
  </si>
  <si>
    <t>Porte-à-faux
m</t>
  </si>
  <si>
    <t>Lumière zénithale
-</t>
  </si>
  <si>
    <t>Séjour, chambre à coucher</t>
  </si>
  <si>
    <t>Chambre d'hôtel</t>
  </si>
  <si>
    <t>Cuisine de restaurant self-service</t>
  </si>
  <si>
    <t>Cuisine de restaurant</t>
  </si>
  <si>
    <t>Restaurant self-service</t>
  </si>
  <si>
    <t>Chambre d'hôpital</t>
  </si>
  <si>
    <t>Bettenzimmer (Spital)</t>
  </si>
  <si>
    <t>Réception, zone d'accueil</t>
  </si>
  <si>
    <t>Bureau individuel, collectif</t>
  </si>
  <si>
    <t>Bibliothèque</t>
  </si>
  <si>
    <t>Salle d'école</t>
  </si>
  <si>
    <t>Halle d'exposition</t>
  </si>
  <si>
    <t>Locaux médicaux</t>
  </si>
  <si>
    <t>Salle de fitness</t>
  </si>
  <si>
    <t>Bureau paysagé</t>
  </si>
  <si>
    <t>Auditoire</t>
  </si>
  <si>
    <t>Production (travail fin)</t>
  </si>
  <si>
    <t>Production (travail lourd)</t>
  </si>
  <si>
    <t>Hall des guichets, zone clientèle</t>
  </si>
  <si>
    <t>Salle d'école spéciale</t>
  </si>
  <si>
    <t>Salle de réunion</t>
  </si>
  <si>
    <t>Bureau de service hospitalier</t>
  </si>
  <si>
    <t>Magasin d'alimentation</t>
  </si>
  <si>
    <t>Magasin spécialisé</t>
  </si>
  <si>
    <t>Salle polyvalente</t>
  </si>
  <si>
    <t>Magasin de meubles, bricolage et jardin</t>
  </si>
  <si>
    <t>Laboratoire</t>
  </si>
  <si>
    <t>Cuisine, cuisine d'étage</t>
  </si>
  <si>
    <t>Salle de spectacle</t>
  </si>
  <si>
    <t>clair</t>
  </si>
  <si>
    <t>sombre</t>
  </si>
  <si>
    <t>Rénovation</t>
  </si>
  <si>
    <t>Lamelles claires sans système de déflexion</t>
  </si>
  <si>
    <t>Lamelles moyennement claires ou store en tissu translucide</t>
  </si>
  <si>
    <t>Lamelles foncées ou store en tissu peu translucide</t>
  </si>
  <si>
    <t>Store non translucide</t>
  </si>
  <si>
    <t>Motorisé, automatique et à guidage des lamelles</t>
  </si>
  <si>
    <t>Motorisé, automatique, tenant compte de l'ombragement</t>
  </si>
  <si>
    <t>Motorisé à commande automatique</t>
  </si>
  <si>
    <t>Motorisé à actionnement manuel</t>
  </si>
  <si>
    <t>Manuel</t>
  </si>
  <si>
    <t>Abrév.
-</t>
  </si>
  <si>
    <t>Hau-teur
m</t>
  </si>
  <si>
    <t>Type
-</t>
  </si>
  <si>
    <t>Non</t>
  </si>
  <si>
    <t>Oui</t>
  </si>
  <si>
    <t>Dati Ogetto</t>
  </si>
  <si>
    <t>Progetto</t>
  </si>
  <si>
    <t>Architetto</t>
  </si>
  <si>
    <t>Prog. Imp. elettrico</t>
  </si>
  <si>
    <t>Prog. illuminotecnica</t>
  </si>
  <si>
    <t>Autore verifica</t>
  </si>
  <si>
    <t>Data</t>
  </si>
  <si>
    <t>Riassunto</t>
  </si>
  <si>
    <t>Superficie netta totale</t>
  </si>
  <si>
    <t>Superficie principale con valutazione insufficiente</t>
  </si>
  <si>
    <t>Procedimento</t>
  </si>
  <si>
    <t>Locali tipo e illuminazione naturale</t>
  </si>
  <si>
    <t>Locale Tipo</t>
  </si>
  <si>
    <t>Dati dello locale</t>
  </si>
  <si>
    <t>Finestre</t>
  </si>
  <si>
    <t>Tipo 1
-</t>
  </si>
  <si>
    <t>Tipo 2
-</t>
  </si>
  <si>
    <t>Tipo 3
-</t>
  </si>
  <si>
    <t>Tipo 4
-</t>
  </si>
  <si>
    <t>Risultati</t>
  </si>
  <si>
    <t>Object data</t>
  </si>
  <si>
    <t>Project</t>
  </si>
  <si>
    <t>Costruttore</t>
  </si>
  <si>
    <t>Architect</t>
  </si>
  <si>
    <t>Electrical planner</t>
  </si>
  <si>
    <t>Lighting planner</t>
  </si>
  <si>
    <t>Overview</t>
  </si>
  <si>
    <t>Total floor area</t>
  </si>
  <si>
    <t>Floor area with insufficient result</t>
  </si>
  <si>
    <t>Quick guide</t>
  </si>
  <si>
    <t>Window data</t>
  </si>
  <si>
    <t>Description
-</t>
  </si>
  <si>
    <t>Length
-</t>
  </si>
  <si>
    <t>Height
-</t>
  </si>
  <si>
    <t>Glazing portion
%</t>
  </si>
  <si>
    <t>Transm. Glazing
%</t>
  </si>
  <si>
    <t>Height of lintel
m</t>
  </si>
  <si>
    <t>Projection
m</t>
  </si>
  <si>
    <t>Skylight
-</t>
  </si>
  <si>
    <t>Solar protection and shading</t>
  </si>
  <si>
    <t>Control
-</t>
  </si>
  <si>
    <t>Shading
-</t>
  </si>
  <si>
    <t>Profon-dità
m</t>
  </si>
  <si>
    <t>Coeff. di luminos.
%</t>
  </si>
  <si>
    <t>Distanza dal soffitto
m</t>
  </si>
  <si>
    <t>Protezione solare e ombreggiatura</t>
  </si>
  <si>
    <t>Tipo
-</t>
  </si>
  <si>
    <t>Controllo
-</t>
  </si>
  <si>
    <t>Room types and daylight</t>
  </si>
  <si>
    <t>Room types</t>
  </si>
  <si>
    <t>No.</t>
  </si>
  <si>
    <t>Room data</t>
  </si>
  <si>
    <t>Width
-</t>
  </si>
  <si>
    <t>Floor Area
m2</t>
  </si>
  <si>
    <t>Number
pcs</t>
  </si>
  <si>
    <t>Windows</t>
  </si>
  <si>
    <t>Results</t>
  </si>
  <si>
    <t>Questionario ammodernamento</t>
  </si>
  <si>
    <t>Domande</t>
  </si>
  <si>
    <t>Risposte</t>
  </si>
  <si>
    <t>Le aperture delle finestre sono generalmente mantenute o aumentate?</t>
  </si>
  <si>
    <t>Le superfici di vetro sono generalmente mantenute o aumentate?</t>
  </si>
  <si>
    <t>I locali sono dipinti con colori chiari?</t>
  </si>
  <si>
    <t>QUESTO FOGLIO DEVE ESSERE COMPLETATO UNICAMENTE IN CASO DI AMMODERNAMENTO</t>
  </si>
  <si>
    <t>Abitativo</t>
  </si>
  <si>
    <t>Amministrativo</t>
  </si>
  <si>
    <t>Scuola</t>
  </si>
  <si>
    <t>Edificio con una piccola percentuale vetrata</t>
  </si>
  <si>
    <t>Edifico con una percentuale vetrata media</t>
  </si>
  <si>
    <t>Edificio con una grande percentuale vetrata</t>
  </si>
  <si>
    <t>Port. vetrata
%</t>
  </si>
  <si>
    <t>Question</t>
  </si>
  <si>
    <t>Answer</t>
  </si>
  <si>
    <t>The window openings are generally maintained or augmented</t>
  </si>
  <si>
    <t>The window areas are generally maintained or augmented</t>
  </si>
  <si>
    <t>The selected glazings have a high daylight transmission factor</t>
  </si>
  <si>
    <t>There are no new elements which lead to a shading of the facade</t>
  </si>
  <si>
    <t>The room surfaces are painted in light colour</t>
  </si>
  <si>
    <t>Summary</t>
  </si>
  <si>
    <t>THIS SHEET IS ONLY FOR RENOVATIONS</t>
  </si>
  <si>
    <t>Dwelling</t>
  </si>
  <si>
    <t>Office</t>
  </si>
  <si>
    <t>School</t>
  </si>
  <si>
    <t>Building with a small portion of glazing</t>
  </si>
  <si>
    <t>Building with a medium portion of glazing</t>
  </si>
  <si>
    <t>Building with a high portion of glazing</t>
  </si>
  <si>
    <t>Soggiorno, camera</t>
  </si>
  <si>
    <t>Ricezione hotel/Lobby</t>
  </si>
  <si>
    <t>Camera d'hotel</t>
  </si>
  <si>
    <t>Singoli uffici  o uffici collettivi</t>
  </si>
  <si>
    <t>Open space</t>
  </si>
  <si>
    <t>Sala riunioni</t>
  </si>
  <si>
    <t>Sportello/Accettazione</t>
  </si>
  <si>
    <t>Aula docenti</t>
  </si>
  <si>
    <t>Aule</t>
  </si>
  <si>
    <t>Biblioteca</t>
  </si>
  <si>
    <t>Auditorio</t>
  </si>
  <si>
    <t>Aule speciali</t>
  </si>
  <si>
    <t>Commercio alimentari</t>
  </si>
  <si>
    <t>Commercio mobili, fai da te e giardino</t>
  </si>
  <si>
    <t>Ristorante</t>
  </si>
  <si>
    <t>Ristorante self-service</t>
  </si>
  <si>
    <t>Cucina ristorante</t>
  </si>
  <si>
    <t>Cucina ristorante self-service</t>
  </si>
  <si>
    <t>Sala per spettacoli</t>
  </si>
  <si>
    <t>Sala multiuso</t>
  </si>
  <si>
    <t>Sala espositiva</t>
  </si>
  <si>
    <t>Camere d'ospedale</t>
  </si>
  <si>
    <t>Sala infermieri</t>
  </si>
  <si>
    <t>Behandlungsraum (Spital)</t>
  </si>
  <si>
    <t>Produzione (lavori pesanti)</t>
  </si>
  <si>
    <t>Produzione (di precisione)</t>
  </si>
  <si>
    <t>Laboratorio</t>
  </si>
  <si>
    <t>Sala Fitness</t>
  </si>
  <si>
    <t>Commercio specializzato</t>
  </si>
  <si>
    <t>Cucina</t>
  </si>
  <si>
    <t>chiaro</t>
  </si>
  <si>
    <t>normale</t>
  </si>
  <si>
    <t>scuro</t>
  </si>
  <si>
    <t>non sono soddisfatte</t>
  </si>
  <si>
    <t>sono ampiamente soddisfatte</t>
  </si>
  <si>
    <t>sono soddisfatte</t>
  </si>
  <si>
    <t>Nuova Costruzione</t>
  </si>
  <si>
    <t>Ammodernamento</t>
  </si>
  <si>
    <t>Si</t>
  </si>
  <si>
    <t>No</t>
  </si>
  <si>
    <t>Manuale</t>
  </si>
  <si>
    <t>Exhibition Hall</t>
  </si>
  <si>
    <t>Medical Rooms</t>
  </si>
  <si>
    <t>Library</t>
  </si>
  <si>
    <t>Fitness Room</t>
  </si>
  <si>
    <t>Open Space Office</t>
  </si>
  <si>
    <t>Auditorium</t>
  </si>
  <si>
    <t>Reception, Lobby</t>
  </si>
  <si>
    <t>Hotel Room</t>
  </si>
  <si>
    <t>Kitchen for self-service Restaurant</t>
  </si>
  <si>
    <t>Kitchen for Restaurant</t>
  </si>
  <si>
    <t>Kitchen</t>
  </si>
  <si>
    <t>Laboratory</t>
  </si>
  <si>
    <t>Grocery Store</t>
  </si>
  <si>
    <t>Teacher's Room</t>
  </si>
  <si>
    <t>Production (precision work)</t>
  </si>
  <si>
    <t>Production (heavy work)</t>
  </si>
  <si>
    <t>Classroom</t>
  </si>
  <si>
    <t>Self-Service Restaurant</t>
  </si>
  <si>
    <t>Meeting Room</t>
  </si>
  <si>
    <t>light</t>
  </si>
  <si>
    <t>dark</t>
  </si>
  <si>
    <t>Manual</t>
  </si>
  <si>
    <t>Tabellennamen</t>
  </si>
  <si>
    <t>Überblick</t>
  </si>
  <si>
    <t>Tageslicht</t>
  </si>
  <si>
    <t>Résumé</t>
  </si>
  <si>
    <t>Daylight</t>
  </si>
  <si>
    <t>Yes</t>
  </si>
  <si>
    <t>Motorized with manual actuation</t>
  </si>
  <si>
    <t>Motorized with automatic actuation</t>
  </si>
  <si>
    <t>Motorized, automatic, shading taken into account</t>
  </si>
  <si>
    <t>Motorized, automatic, with positioning of blinds</t>
  </si>
  <si>
    <t>Situated in city, heavily shaded</t>
  </si>
  <si>
    <t>Medium shaded, shading angle between 15° and 35°</t>
  </si>
  <si>
    <t>Open field, no or few shading</t>
  </si>
  <si>
    <t>Lightly coloured blinds, with reflection system</t>
  </si>
  <si>
    <t>Lightly coloured blinds, without reflection system</t>
  </si>
  <si>
    <t>Medium light blinds or translucent fabric</t>
  </si>
  <si>
    <t>Dark blinds or dense fabric</t>
  </si>
  <si>
    <t>Non translucent solar protection</t>
  </si>
  <si>
    <t>Lamelle chiare con sistema di riflessione</t>
  </si>
  <si>
    <t>Lamelle chiare senza sistema di riflessione</t>
  </si>
  <si>
    <t>Motorizzato, automatico</t>
  </si>
  <si>
    <t>Situato in città, ombraggiamento importante</t>
  </si>
  <si>
    <t>Author of verification</t>
  </si>
  <si>
    <t>Eingabemeldungen</t>
  </si>
  <si>
    <t>Wert1</t>
  </si>
  <si>
    <t>Wert2</t>
  </si>
  <si>
    <t>Wert3</t>
  </si>
  <si>
    <t>Wert4</t>
  </si>
  <si>
    <t>Total Floor Area</t>
  </si>
  <si>
    <t>Surface nette</t>
  </si>
  <si>
    <t>Resultat</t>
  </si>
  <si>
    <t>Résultat</t>
  </si>
  <si>
    <t>Risultato</t>
  </si>
  <si>
    <t>Result</t>
  </si>
  <si>
    <t>Fläche</t>
  </si>
  <si>
    <t>Résultats de cette feuille</t>
  </si>
  <si>
    <t>Results from this sheet</t>
  </si>
  <si>
    <t>Déscription</t>
  </si>
  <si>
    <t>Descrizione</t>
  </si>
  <si>
    <t>Description</t>
  </si>
  <si>
    <t>Gesamtresultat</t>
  </si>
  <si>
    <t>Résultats globales</t>
  </si>
  <si>
    <t>Risultati globali</t>
  </si>
  <si>
    <t>Total of Results</t>
  </si>
  <si>
    <t>B36</t>
  </si>
  <si>
    <t>F36</t>
  </si>
  <si>
    <t>J36</t>
  </si>
  <si>
    <t>N36</t>
  </si>
  <si>
    <t>B37</t>
  </si>
  <si>
    <t>F37</t>
  </si>
  <si>
    <t>H37</t>
  </si>
  <si>
    <t>N37</t>
  </si>
  <si>
    <t>J37</t>
  </si>
  <si>
    <t>L37</t>
  </si>
  <si>
    <t>P37</t>
  </si>
  <si>
    <t>B38</t>
  </si>
  <si>
    <t>B39</t>
  </si>
  <si>
    <t>B40</t>
  </si>
  <si>
    <t>Wählen Sie einen Eintrag aus der Liste, welcher der Raumnutzung am besten entspricht. Räume der Nebennutzung sind nicht zu erfassen.</t>
  </si>
  <si>
    <t>Geben Sie hier die Raumbezeichnung ein. Räume der Nebennutzung sind nicht zu erfassen.</t>
  </si>
  <si>
    <t>Länge</t>
  </si>
  <si>
    <t>Geben Sie die Raumabmessungen ein.</t>
  </si>
  <si>
    <t>Tiefe</t>
  </si>
  <si>
    <t>Geben Sie die lichte Raumhöhe ein. Falls der Raum verschiedene Raumhöhen aufweist, mitteln Sie die Höhe oder erfassen Sie die Bereiche separat.</t>
  </si>
  <si>
    <t>Falls die Fläche nicht der Multiplikation von Länge und Breite entspricht, geben Sie diese hier ein, ansonsten leer lassen.</t>
  </si>
  <si>
    <t>Geben Sie die Gesamtanzahl dieses Raumtyps im Gebäude ein.</t>
  </si>
  <si>
    <t xml:space="preserve">Wählen Sie einen Eintrag aus der Liste. </t>
  </si>
  <si>
    <t>Fenstertyp</t>
  </si>
  <si>
    <t>Tabelle</t>
  </si>
  <si>
    <t>Adresse</t>
  </si>
  <si>
    <t>B5:B34</t>
  </si>
  <si>
    <t>C5:C34</t>
  </si>
  <si>
    <t>D5:D34</t>
  </si>
  <si>
    <t>E5:E34</t>
  </si>
  <si>
    <t>F5:F34</t>
  </si>
  <si>
    <t>G5:G34</t>
  </si>
  <si>
    <t>H5:H34</t>
  </si>
  <si>
    <t>I5:I34</t>
  </si>
  <si>
    <t>J5:J34</t>
  </si>
  <si>
    <t>K5:K34</t>
  </si>
  <si>
    <t>L5:L34</t>
  </si>
  <si>
    <t>M5:M34</t>
  </si>
  <si>
    <t>Resultate aus diesem Blatt</t>
  </si>
  <si>
    <t>Fehler</t>
  </si>
  <si>
    <t>Bitte in diesem Feld nur Text erfassen.</t>
  </si>
  <si>
    <t>Sie müssen Werte zwischen 0 und 9999 eingeben.</t>
  </si>
  <si>
    <t>Sie müssen ganzzahlige Werte zwischen 0 und 999 eingeben.</t>
  </si>
  <si>
    <t>Geben Sie die Gesamtanzahl dieses Fenstertyps ein.</t>
  </si>
  <si>
    <t>N5:N34</t>
  </si>
  <si>
    <t>O5:O34</t>
  </si>
  <si>
    <t>P5:P34</t>
  </si>
  <si>
    <t>Q5:Q34</t>
  </si>
  <si>
    <t>B5:B39</t>
  </si>
  <si>
    <t>C5:C39</t>
  </si>
  <si>
    <t>D5:D39</t>
  </si>
  <si>
    <t>E5:E39</t>
  </si>
  <si>
    <t>F5:F39</t>
  </si>
  <si>
    <t>G5:G39</t>
  </si>
  <si>
    <t>Glasanteil</t>
  </si>
  <si>
    <t>Sturzhöhe</t>
  </si>
  <si>
    <t>Auskragung</t>
  </si>
  <si>
    <t>H5:H39</t>
  </si>
  <si>
    <t>I5:I39</t>
  </si>
  <si>
    <t>J5:J39</t>
  </si>
  <si>
    <t>K5:K39</t>
  </si>
  <si>
    <t>L5:L39</t>
  </si>
  <si>
    <t>M5:M39</t>
  </si>
  <si>
    <t>Oberlicht</t>
  </si>
  <si>
    <t>Sonnenschutz-Typ</t>
  </si>
  <si>
    <t>Bitte geben Sie eine Bezeichnung für das Fenster ein</t>
  </si>
  <si>
    <t>Sie dürfen nur maximal 25 Zeichen eingeben.</t>
  </si>
  <si>
    <t>Sie müssen Werte zwischen 0 und 999 eingeben.</t>
  </si>
  <si>
    <t>Sie müssen Werte zwischen 0% und 100% eingeben.</t>
  </si>
  <si>
    <t>Sie müssen Werte zwischen 0 und 99 eingeben.</t>
  </si>
  <si>
    <t>Geben Sie die Breite des Fensters (Öffnungslichtmass) ein.</t>
  </si>
  <si>
    <t>Geben Sie die Höhe des Fensters (Öffnungslichtmass) ein.</t>
  </si>
  <si>
    <t>Geben Sie den Flächenanteil des Glases am Öffnungslichtmass ein.</t>
  </si>
  <si>
    <t>Geben Sie den Abstand zwischen Decke und Verglasung ein.</t>
  </si>
  <si>
    <t>Geben Sie den horizontalen Abstand zwischen Fenster und Vorderkante der Auskragung ein.</t>
  </si>
  <si>
    <t>Wählen Sie Ja, wenn das Fenster im Dach angeordnet ist (Neigung 0° bis 45° aus der Horizontalen)</t>
  </si>
  <si>
    <t>Wählen Sie den am besten zutreffenden Sonnenschutz-Typ aus der Liste.</t>
  </si>
  <si>
    <t>Wählen Sie den am besten zutreffenden Steuerungs-Typ aus der Liste.</t>
  </si>
  <si>
    <t>Wählen Sie die am besten zutreffende Situation der Fassade, in der das Fenster platziert ist.</t>
  </si>
  <si>
    <t>Hospital room</t>
  </si>
  <si>
    <t>Specialty Store</t>
  </si>
  <si>
    <t>Multi-purpose Hall</t>
  </si>
  <si>
    <t>Counter area, Lobby</t>
  </si>
  <si>
    <t>Specialty Classroom</t>
  </si>
  <si>
    <t>Nurse room</t>
  </si>
  <si>
    <t>Furniture, Hardware, Gardening Store</t>
  </si>
  <si>
    <t>Presentation room</t>
  </si>
  <si>
    <t>Living Room, Bedroom</t>
  </si>
  <si>
    <t>Bitte beachten Sie die beim Anklicken der Eingabefelder erscheinenden Hilfstexte.</t>
  </si>
  <si>
    <t>Bei Fragen zu Zertifizierungsobjekten steht Ihnen die zuständige Zertifizierungsstelle gerne zur Verfügung.</t>
  </si>
  <si>
    <t>Errore</t>
  </si>
  <si>
    <t>Denominazione</t>
  </si>
  <si>
    <t>Inserisci un nome per la finestra</t>
  </si>
  <si>
    <t>È possibile immettere al massimo 25 caratteri.</t>
  </si>
  <si>
    <t>Larghezza</t>
  </si>
  <si>
    <t>Immettere la larghezza della finestra (misura in luce).</t>
  </si>
  <si>
    <t>È necessario immettere valori compresi tra 0 e 9999.</t>
  </si>
  <si>
    <t>Altezza</t>
  </si>
  <si>
    <t>Immettere la altezza della finestra (misura in luce).</t>
  </si>
  <si>
    <t>Porzione di vetro</t>
  </si>
  <si>
    <t>Inserire la porzione di vetro rispetto al vano della finestra</t>
  </si>
  <si>
    <t>È necessario immettere valori compresi tra 0% e 100%.</t>
  </si>
  <si>
    <t>Coeff. luminosità</t>
  </si>
  <si>
    <t>Immettere il coefficiente di luminosità del vetro. _x000D_
Attenzione: nel caso di vetrate disposte davanti alla finestra (giardino d'inverno, doppie facciate, ecc.) moltiplicare per il coefficiente di luminosità della vetrata.</t>
  </si>
  <si>
    <t>Architrave</t>
  </si>
  <si>
    <t>Inserire la distanza tra soffitto e vetrate.</t>
  </si>
  <si>
    <t>Aggetto</t>
  </si>
  <si>
    <t>Inserire la distanza orizzontale tra la finestra e il bordo anteriore della sporgenza.</t>
  </si>
  <si>
    <t>Lucernari</t>
  </si>
  <si>
    <t>Selezionare Sì se la finestra è posizionata nel tetto (angolo da 0° a 45° rispetto all' orizzontale)</t>
  </si>
  <si>
    <t>È necessario selezionare una voce dall' elenco.</t>
  </si>
  <si>
    <t>Protezione solare tipo</t>
  </si>
  <si>
    <t>Selezionare il tipo di protezione solare più appropriato dall' elenco.</t>
  </si>
  <si>
    <t>Controllo</t>
  </si>
  <si>
    <t>Selezionare il tipo di controllo più appropriato dall' elenco.</t>
  </si>
  <si>
    <t>Ombreggiamento</t>
  </si>
  <si>
    <t>Selezionare la situazione più appropriata della facciata in cui è collocata la finestra.</t>
  </si>
  <si>
    <t>Locale tipo</t>
  </si>
  <si>
    <t>Immettere qui il nome del locale. I locali secondari non devono essere registrati.</t>
  </si>
  <si>
    <t>Inserisci solo testo in questo campo.</t>
  </si>
  <si>
    <t>Uso principale</t>
  </si>
  <si>
    <t>Selezionare una voce dall' elenco che meglio corrisponde all' utilizzo della stanza. I locali secondari non devono essere registrati.</t>
  </si>
  <si>
    <t>Immettere le dimensioni del locale.</t>
  </si>
  <si>
    <t>Profondità</t>
  </si>
  <si>
    <t>Immettere l' altezza in luce. Se il locale ha altezze diverse, inserire l'altezza media o inserire le aree separatamente.</t>
  </si>
  <si>
    <t>Superficie</t>
  </si>
  <si>
    <t>Se l' area non corrisponde alla moltiplicazione tra la larghezza e la profondità, inserirla qui, altrimenti lasciare in bianco.</t>
  </si>
  <si>
    <t>Numero</t>
  </si>
  <si>
    <t>Immettere il numero totale di questo tipo di locale nell' edificio.</t>
  </si>
  <si>
    <t>È necessario immettere valori interi compresi tra 0 e 999.</t>
  </si>
  <si>
    <t>Riflessione della stanza</t>
  </si>
  <si>
    <t>Selezionare una voce dall' elenco.</t>
  </si>
  <si>
    <t>Finestra Tipo</t>
  </si>
  <si>
    <t>Selezionare uno dei tipi di finestra registrati nel foglio "Finestra".</t>
  </si>
  <si>
    <t>Immettere il numero totale di questo tipo di finestra.</t>
  </si>
  <si>
    <t>Dati di Finestre</t>
  </si>
  <si>
    <t>Quantità
n.</t>
  </si>
  <si>
    <t>Qantità
n.</t>
  </si>
  <si>
    <t>Risultati di questo foglio</t>
  </si>
  <si>
    <t>Locale medico</t>
  </si>
  <si>
    <t>Lamelle media chiare o tenda traslucida</t>
  </si>
  <si>
    <t>Lamelle scure o tenda poco traslucida</t>
  </si>
  <si>
    <t>tenda non traslucida</t>
  </si>
  <si>
    <t>Motorizzato, automatico con guida per le lamelle</t>
  </si>
  <si>
    <t>Motorizzato, automatico, tenendo conto degli ombrggiamenti</t>
  </si>
  <si>
    <t>Motorizzato,  manuale</t>
  </si>
  <si>
    <t>Terreno aperto, o poco ombraggiamento</t>
  </si>
  <si>
    <t>Ombraggiamento medio, angolo d'ombraggiamento tra i 15° e i 35°</t>
  </si>
  <si>
    <t>Sporgenza
m</t>
  </si>
  <si>
    <t>Larghe-zza
m</t>
  </si>
  <si>
    <t>Lucernari
-</t>
  </si>
  <si>
    <t>Ombreggiatura
-</t>
  </si>
  <si>
    <t>Abbrev.
-</t>
  </si>
  <si>
    <t>Descrizione
-</t>
  </si>
  <si>
    <t>Alte-zza
m</t>
  </si>
  <si>
    <t>Raumbezeichnung
-</t>
  </si>
  <si>
    <t>Designazione locale
-</t>
  </si>
  <si>
    <t>Room description
-</t>
  </si>
  <si>
    <t>Superfi-cie
m2</t>
  </si>
  <si>
    <t>Nr.
-</t>
  </si>
  <si>
    <t>Utilizzo
-</t>
  </si>
  <si>
    <t>Riflessi-one
-</t>
  </si>
  <si>
    <t>Si prega di leggere gli aiuti che appaiono quando si clicca su un camp di immissione.</t>
  </si>
  <si>
    <t>Se avete domande sugli oggetti di certificazione, contattate il centro di certificazione competente.</t>
  </si>
  <si>
    <t>Please consider the help texts which appear as soon as you click on a cell.</t>
  </si>
  <si>
    <t>If you have questions on certified objects, don't hesitate to ask the staff of the certification offices.</t>
  </si>
  <si>
    <t>#
-</t>
  </si>
  <si>
    <t>Key
-</t>
  </si>
  <si>
    <t>Room reflection
-</t>
  </si>
  <si>
    <t>Usage
-</t>
  </si>
  <si>
    <t>Auswahl Hauptnutzung
-</t>
  </si>
  <si>
    <t>Affectation standard
-</t>
  </si>
  <si>
    <t>Error</t>
  </si>
  <si>
    <t>Please enter a description for the window.</t>
  </si>
  <si>
    <t>You must not enter more than 25 characters.</t>
  </si>
  <si>
    <t>Width</t>
  </si>
  <si>
    <t>Please enter the width of the window.</t>
  </si>
  <si>
    <t>You must enter values between 0 and 999.</t>
  </si>
  <si>
    <t>You must enter values between 0 and 99.</t>
  </si>
  <si>
    <t>You must enter values between 0% and 100%.</t>
  </si>
  <si>
    <t>Please enter the distance between glazing and cieling.</t>
  </si>
  <si>
    <t>Height of lintel</t>
  </si>
  <si>
    <t>Height</t>
  </si>
  <si>
    <t>Please enter the height of the window</t>
  </si>
  <si>
    <t>Glazing portion</t>
  </si>
  <si>
    <t xml:space="preserve">Please enter the portion of the glazing. </t>
  </si>
  <si>
    <t>Daylight transmission</t>
  </si>
  <si>
    <t>Please enter the value for the daylight transmission of the glazing.</t>
  </si>
  <si>
    <t>Skylight</t>
  </si>
  <si>
    <t>Choose Yes if the window is positioned in the roof.</t>
  </si>
  <si>
    <t>You must choose an entry from the list.</t>
  </si>
  <si>
    <t>Projection</t>
  </si>
  <si>
    <t>Please enter the horizontal distance between window and edge of projection.</t>
  </si>
  <si>
    <r>
      <t>Volllaststd. T</t>
    </r>
    <r>
      <rPr>
        <vertAlign val="subscript"/>
        <sz val="10"/>
        <color indexed="9"/>
        <rFont val="Arial"/>
        <family val="2"/>
      </rPr>
      <t>L,11</t>
    </r>
  </si>
  <si>
    <t>Password</t>
  </si>
  <si>
    <t>Sprachwahl</t>
  </si>
  <si>
    <t>Illuminazione_naturale</t>
  </si>
  <si>
    <t>Lumière_du_jour</t>
  </si>
  <si>
    <t>Des textes d'aide apparaissent lorsque vous cliquez sur les zones de saisie.</t>
  </si>
  <si>
    <t>Erreur</t>
  </si>
  <si>
    <t>Désignation</t>
  </si>
  <si>
    <t>Veuillez saisir un nom pour la fenêtre</t>
  </si>
  <si>
    <t>Vous ne pouvez saisir que 25 caractères au maximum.</t>
  </si>
  <si>
    <t>Largeur</t>
  </si>
  <si>
    <t>Entrez la largeur de la fenêtre (vide de maçonnerie).</t>
  </si>
  <si>
    <t>Vous devez saisir des valeurs entre 0 et 999.</t>
  </si>
  <si>
    <t>Hauteur</t>
  </si>
  <si>
    <t>Entrez la hauteur de la fenêtre (vide de maçonnerie).</t>
  </si>
  <si>
    <t>Pourcentage de surface vitrée</t>
  </si>
  <si>
    <t>Entrez le pourcentage de surface vitrée.</t>
  </si>
  <si>
    <t>Vous devez saisir des valeurs entre 0% et 100%.</t>
  </si>
  <si>
    <t xml:space="preserve">Entrez la valeur de transmission lumineuse de la vitre. 
Attention: dans le cas d'un autre vitrage disposé devant la fenêtre (fenêtres à caisson, double façades, etc.), la valeur Tau sera a multiplier en conséquence. </t>
  </si>
  <si>
    <t>Linteau</t>
  </si>
  <si>
    <t>Entrez la distance entre le plafond et le vitrage.</t>
  </si>
  <si>
    <t>Vous devez saisir des valeurs entre 0 et 99.</t>
  </si>
  <si>
    <t>Porte-à-faux</t>
  </si>
  <si>
    <t>Entrez la distance horizontale entre la fenêtre et le bord avant du porte-à-faux.</t>
  </si>
  <si>
    <t>Lumière zenithale</t>
  </si>
  <si>
    <t>Sélectionnez 'Oui' si la fenêtre est placée au plafond (angle de 0° à 45° par rapport à l'horizontale)</t>
  </si>
  <si>
    <t>Vous devez sélectionner un élément de la liste.</t>
  </si>
  <si>
    <t>Type de protection solaire</t>
  </si>
  <si>
    <t>Sélectionnez le type de protection solaire qui correspond le mieux dans la liste.</t>
  </si>
  <si>
    <t>Commande</t>
  </si>
  <si>
    <t>Sélectionnez le type de commande qui correspond le mieux dans la liste.</t>
  </si>
  <si>
    <t>Ombrage</t>
  </si>
  <si>
    <t>Sélectionnez la situation de la façade dans laquelle la fenêtre est placée qui correspond le mieux.</t>
  </si>
  <si>
    <t>Local typique</t>
  </si>
  <si>
    <t xml:space="preserve">Entrez la description du local ici. Les locaux d'utilisation secondaire ne doivent pas être saisis.
</t>
  </si>
  <si>
    <t>Veuillez saisir uniquement du texte dans cette cellule.</t>
  </si>
  <si>
    <t>Utilisation principale</t>
  </si>
  <si>
    <t>Sélectionnez un élément de la liste qui correspond le mieux à l'utilisation du local. Les locaux d'utilisation secondaire ne doivent pas être saisis.</t>
  </si>
  <si>
    <t>Longueur</t>
  </si>
  <si>
    <t>Entrez les dimensions du local.</t>
  </si>
  <si>
    <t>Vous devez saisir des valeurs entre 0 et 9999.</t>
  </si>
  <si>
    <t>Profondeur</t>
  </si>
  <si>
    <t>Entrez la hauteur libre. Si le local a plusieurs hauteurs, faites la moyenne des hauteurs ou saisissez des zones séparément.</t>
  </si>
  <si>
    <t>Surface</t>
  </si>
  <si>
    <t>Si la surface ne correspond pas à la multiplication de la longueur et de la largeur, saisissez-la ici, sinon laisser vide.</t>
  </si>
  <si>
    <t>Nombre</t>
  </si>
  <si>
    <t>Entrez les nombre de locaux de ce type.</t>
  </si>
  <si>
    <t>Vous devez saisir des valeurs entières entre 0 et 999.</t>
  </si>
  <si>
    <t>Réflexion du local</t>
  </si>
  <si>
    <t>Sélectionnez un élément de la liste.</t>
  </si>
  <si>
    <t>Type de fenêtre</t>
  </si>
  <si>
    <t>Choisissez un des type de fenêtres saisi dans la feuille 'Fenster'.</t>
  </si>
  <si>
    <t>Entrez le nombre de fenêtres de ce type.</t>
  </si>
  <si>
    <t>Res.</t>
  </si>
  <si>
    <t>R3</t>
  </si>
  <si>
    <t>Rés.</t>
  </si>
  <si>
    <t>Ris.</t>
  </si>
  <si>
    <t>R4</t>
  </si>
  <si>
    <t>Erf. Grad
%</t>
  </si>
  <si>
    <t>Degré lum.
%</t>
  </si>
  <si>
    <t>Quota illum.
%</t>
  </si>
  <si>
    <t>Gesamtfläche</t>
  </si>
  <si>
    <t>Superficie netto</t>
  </si>
  <si>
    <t>Gebäudekategorie (Auswahl durch Anklicken der entsprechenden Schaltfläche)</t>
  </si>
  <si>
    <t>Catégorie de bâtiments (cliquez le bouton)</t>
  </si>
  <si>
    <t>Building categories (click on the button)</t>
  </si>
  <si>
    <t>Categorie degli edifici (cliccare su tasto)</t>
  </si>
  <si>
    <t>È necessario immettere valori compresi tra 0 e 999.</t>
  </si>
  <si>
    <t>È necessario immettere valori compresi tra 0 e 99.</t>
  </si>
  <si>
    <t>Length</t>
  </si>
  <si>
    <t>Enter the room dimensions.</t>
  </si>
  <si>
    <t>Please use this field only for text.</t>
  </si>
  <si>
    <t>Main usage</t>
  </si>
  <si>
    <t>Select an element from the list.</t>
  </si>
  <si>
    <t>You must select an element from the list.</t>
  </si>
  <si>
    <t>Window type</t>
  </si>
  <si>
    <t>Select one of the windows types from the list.</t>
  </si>
  <si>
    <t>Room surface reflection</t>
  </si>
  <si>
    <t>Number</t>
  </si>
  <si>
    <t>Area</t>
  </si>
  <si>
    <t>Depth</t>
  </si>
  <si>
    <t>Typical room</t>
  </si>
  <si>
    <t>Shading</t>
  </si>
  <si>
    <t>Enter a room description.</t>
  </si>
  <si>
    <t>You must enetr values between 0 and 9999</t>
  </si>
  <si>
    <t>Enter the total number of this room type.</t>
  </si>
  <si>
    <t>You must enter values between -99 and 999</t>
  </si>
  <si>
    <t>Sie müssen Werte zwischen -99 und 999 eingeben.</t>
  </si>
  <si>
    <t>Vous devez saisir des valeurs entre -99 et 999.</t>
  </si>
  <si>
    <t>È necessario immettere valori compresi tra -99 e 999.</t>
  </si>
  <si>
    <t>Enter the number of windows.</t>
  </si>
  <si>
    <t>Solar protection</t>
  </si>
  <si>
    <t>Select the appropriate type of solar protection from the list.</t>
  </si>
  <si>
    <t>Control</t>
  </si>
  <si>
    <t>Select the appropriate Type of control from the list.</t>
  </si>
  <si>
    <t>Select the appropriate situation from the list.</t>
  </si>
  <si>
    <t>Non sono previsti nuovi elementi che ombreggiano la facciata (es. balconi, gronde, sporgenze…) ?</t>
  </si>
  <si>
    <t>well fulfilled</t>
  </si>
  <si>
    <t>fulfilled</t>
  </si>
  <si>
    <t>not met</t>
  </si>
  <si>
    <t>Questionnaire_rénovation</t>
  </si>
  <si>
    <t>Questionario_ammodernamento</t>
  </si>
  <si>
    <t>Questionaire_renovations</t>
  </si>
  <si>
    <t>Dayl. auton.
%</t>
  </si>
  <si>
    <t>Fenster-breite ges. m</t>
  </si>
  <si>
    <t>Sichtebene</t>
  </si>
  <si>
    <t>Sichtebenen
-</t>
  </si>
  <si>
    <t>Aussichtsebene</t>
  </si>
  <si>
    <t>Landschaft und Boden</t>
  </si>
  <si>
    <t>Landschaft und Himmel</t>
  </si>
  <si>
    <t>Landschaft, Boden und Himmel</t>
  </si>
  <si>
    <t>Nur Landschaft</t>
  </si>
  <si>
    <t>Nur Boden</t>
  </si>
  <si>
    <t>Nur Himmel</t>
  </si>
  <si>
    <t>Boden und Himmel</t>
  </si>
  <si>
    <t>Ergebnis
-</t>
  </si>
  <si>
    <t>Sichtwinkel
°</t>
  </si>
  <si>
    <t>Sichtweite
m</t>
  </si>
  <si>
    <t>Ergebnis
Punkte</t>
  </si>
  <si>
    <t>Fensterbreite ges.
m</t>
  </si>
  <si>
    <t>Tabelle Ausblick</t>
  </si>
  <si>
    <t>Only landscape</t>
  </si>
  <si>
    <t>Landscape and sky</t>
  </si>
  <si>
    <t>Only sky</t>
  </si>
  <si>
    <t>Paysage et ciel</t>
  </si>
  <si>
    <t>Seul ciel</t>
  </si>
  <si>
    <t>Seul paysage</t>
  </si>
  <si>
    <t>Solo paesaggio</t>
  </si>
  <si>
    <t>Paesaggio e cielo</t>
  </si>
  <si>
    <t>Solo cielo</t>
  </si>
  <si>
    <t>Paesaggio e terra</t>
  </si>
  <si>
    <t>Paesaggio, terra e cielo</t>
  </si>
  <si>
    <t>Solo terra</t>
  </si>
  <si>
    <t>terra e cielo</t>
  </si>
  <si>
    <t>Paysage et terre</t>
  </si>
  <si>
    <t>Paysage, terre et ciel</t>
  </si>
  <si>
    <t>Seul terre</t>
  </si>
  <si>
    <t>terre et ciel</t>
  </si>
  <si>
    <t>Landscape and ground</t>
  </si>
  <si>
    <t>Landscape, ground and sky</t>
  </si>
  <si>
    <t>Only ground</t>
  </si>
  <si>
    <t>ground and sky</t>
  </si>
  <si>
    <t>Typische Räume und Ausblick</t>
  </si>
  <si>
    <t>Room types and views</t>
  </si>
  <si>
    <t>Locali tipo e prospettive</t>
  </si>
  <si>
    <t>Profondità dell'area usata</t>
  </si>
  <si>
    <t>Profondità dell'area usata
m</t>
  </si>
  <si>
    <t>Depth of used area</t>
  </si>
  <si>
    <t>Depth of used area
m</t>
  </si>
  <si>
    <t>Visual range</t>
  </si>
  <si>
    <t>Raggio visivo</t>
  </si>
  <si>
    <t>Raggio visivo
m</t>
  </si>
  <si>
    <t>Visual range
m</t>
  </si>
  <si>
    <t>Livelli di visione
-</t>
  </si>
  <si>
    <t>Viewing levels
-</t>
  </si>
  <si>
    <t>Qualität des Ausblicks (über alle Räume)</t>
  </si>
  <si>
    <t>Qualità della vista (in tutte le locali)</t>
  </si>
  <si>
    <t>Quality of views (in all rooms)</t>
  </si>
  <si>
    <t>C3</t>
  </si>
  <si>
    <t>Resultat
-</t>
  </si>
  <si>
    <t>Résultat
-</t>
  </si>
  <si>
    <t>Risultato
-</t>
  </si>
  <si>
    <t>Result
-</t>
  </si>
  <si>
    <t>Raumfläche total
m2</t>
  </si>
  <si>
    <t>Ausblickqualitaet</t>
  </si>
  <si>
    <t>E36</t>
  </si>
  <si>
    <t>E37</t>
  </si>
  <si>
    <t>G37</t>
  </si>
  <si>
    <t>C36</t>
  </si>
  <si>
    <t>G36</t>
  </si>
  <si>
    <t>C37</t>
  </si>
  <si>
    <t>D37</t>
  </si>
  <si>
    <t>Aussichtsqualität</t>
  </si>
  <si>
    <t>Resultat
Pt.</t>
  </si>
  <si>
    <t>Résultat
Pt.</t>
  </si>
  <si>
    <t>Risultato
Pt.</t>
  </si>
  <si>
    <t>Result
Pt.</t>
  </si>
  <si>
    <t>Tiefe genutzter Bereich</t>
  </si>
  <si>
    <t>Geben Sie die Tiefe der von Personen dauernd genutzten Bereiche (gemessen ab Fassade) ein.</t>
  </si>
  <si>
    <t>Sichtweite</t>
  </si>
  <si>
    <t>Geben Sie den Abstand zum nächsten Objekt (gemessen ab Fassade) ein.</t>
  </si>
  <si>
    <t>Sie müssen ganzzahlige Werte zwischen 0 und 9999 eingeben.</t>
  </si>
  <si>
    <t>Wählen Sie die vom entferntesten Punkt aus in einer Höhe von 1.2 Meter (sitzende Tätigkeit) bzw. 1.7 Meter (stehende Tätigkeit) beim Blick durchs Fenster sichtbaren Ebenen.</t>
  </si>
  <si>
    <t>Niveaux de vision</t>
  </si>
  <si>
    <t>Livelli di visione</t>
  </si>
  <si>
    <t>Viewing levels</t>
  </si>
  <si>
    <t>Enter the distance to the next object (measured from the facade).</t>
  </si>
  <si>
    <t>Immettere la distanza dall'oggetto successivo (misurata dalla facciata).</t>
  </si>
  <si>
    <t>You must enter integer values between 0 and 999.</t>
  </si>
  <si>
    <t>Immettere la profondità delle aree utilizzate in permanenza dalle persone (misurata dalla facciata).</t>
  </si>
  <si>
    <t>Entrez la profondeur des zones utilisées en permanence par les personnes (mesurée à partir de la façade).</t>
  </si>
  <si>
    <t>Enter the depth of the areas permanently used by people (measured from the façade).</t>
  </si>
  <si>
    <t>Select the planes visible from the furthest point at a height of 1.2 metres (sitting activity) or 1.7 metres (standing activity) when looking through the window.</t>
  </si>
  <si>
    <t>Selezionare i livelli visibili dal punto più lontano ad un'altezza di 1,2 metri (attività da seduti) o 1,7 metri (attività in piedi) quando si guarda attraverso la finestra.</t>
  </si>
  <si>
    <t>Sélectionnez les niveaux visibles du point le plus éloigné à une hauteur de 1,2 mètre (activité assise) ou de 1,7 mètre (activité debout) lorsque vous regardez par la fenêtre.</t>
  </si>
  <si>
    <t>Zusammenfassung der Ergebnisse Tageslicht</t>
  </si>
  <si>
    <t>Riassunto illuminazione naturale</t>
  </si>
  <si>
    <t>Overview Daylight</t>
  </si>
  <si>
    <t>Ausblick</t>
  </si>
  <si>
    <t>Views</t>
  </si>
  <si>
    <t>Vues</t>
  </si>
  <si>
    <t>Prospettive</t>
  </si>
  <si>
    <t>A49</t>
  </si>
  <si>
    <t>A51</t>
  </si>
  <si>
    <t>A52</t>
  </si>
  <si>
    <t>A53</t>
  </si>
  <si>
    <t>A54</t>
  </si>
  <si>
    <t>Zusammenfassung der Ergebnisse Ausblick</t>
  </si>
  <si>
    <t>Versionierung</t>
  </si>
  <si>
    <t>Versions-Nr.</t>
  </si>
  <si>
    <t>Beschrieb der Anpassungen</t>
  </si>
  <si>
    <t xml:space="preserve">Datum </t>
  </si>
  <si>
    <t>Zuständig</t>
  </si>
  <si>
    <t>Tool neu erstellt</t>
  </si>
  <si>
    <t>Ausblick ergänzt, Versionierung ergänzt</t>
  </si>
  <si>
    <t>D1</t>
  </si>
  <si>
    <t>A55</t>
  </si>
  <si>
    <t>Riassunto prospettive</t>
  </si>
  <si>
    <t>Overview views</t>
  </si>
  <si>
    <t>Profond. de la surface utilisée</t>
  </si>
  <si>
    <t>Ergänzungen Raumnutzungen unter Terrain, Korrektur Fehler Blatt Fenster</t>
  </si>
  <si>
    <t>Kein Sonnenschutz</t>
  </si>
  <si>
    <t>Pas de protection solaire</t>
  </si>
  <si>
    <t>Nessuna protezione solare</t>
  </si>
  <si>
    <t>No solar protection</t>
  </si>
  <si>
    <t>Auswahl SoSchu ergänzt, Gültigkeitsdatum, FK_Sanierung Transmissionswert ergänzt, Version nachgeführt</t>
  </si>
  <si>
    <t>Geben Sie den Wert für den Tageslicht-Transmissiongrad des Glases ein. 
Achtung: bei vor dem Fenster angeordneten Gläsern (Kastenfenster, Doppelfassaden etc.) ist der Tau-Wert der Verglasungen zu multiplizieren.</t>
  </si>
  <si>
    <t>Wurde bei der Wahl der Verglasung auf einen hohen Tageslicht-Transmissionsgrad (Tau ≥ 70%) geachtet?</t>
  </si>
  <si>
    <t>Il vetro scelto posside un elevato fattore di trasmissione della luce diurna (Coeff. luminosità ≥ 70%)?</t>
  </si>
  <si>
    <t>Ergänzungen Raumnutzungen unter Terrain</t>
  </si>
  <si>
    <t>Turnhalle (oberirdisch)</t>
  </si>
  <si>
    <t>Turnhalle (unterirdisch)</t>
  </si>
  <si>
    <t>Salle de gymnastique (en surface)</t>
  </si>
  <si>
    <t>Palestra (fuori terra)</t>
  </si>
  <si>
    <t>Gymnasium (above ground)</t>
  </si>
  <si>
    <t>Salle de gymnastique (souterrain)</t>
  </si>
  <si>
    <t>Palestra (sotto terreno)</t>
  </si>
  <si>
    <t>Gymnasium (under ground)</t>
  </si>
  <si>
    <t>Schwimmhalle (oberirdisch)</t>
  </si>
  <si>
    <t>Piscine couverte (en surface)</t>
  </si>
  <si>
    <t>Piscina (fuori terra)</t>
  </si>
  <si>
    <t>Indoor Swimming Pool (above ground)</t>
  </si>
  <si>
    <t>Schwimmhalle (unterirdisch)</t>
  </si>
  <si>
    <t>Piscine couverte (souterrain)</t>
  </si>
  <si>
    <t>Piscina (sotto terreno)</t>
  </si>
  <si>
    <t>Indoor Swimming Pool (under ground)</t>
  </si>
  <si>
    <t>BM</t>
  </si>
  <si>
    <t>Tageslicht-Tool ECO</t>
  </si>
  <si>
    <t>Outil de lumière du jour ECO</t>
  </si>
  <si>
    <t>Strumento per l'illuminazione naturale ECO</t>
  </si>
  <si>
    <t>Daylight-Tool ECO</t>
  </si>
  <si>
    <t>Auteur du justificatif</t>
  </si>
  <si>
    <t>Récapitulation des résultats pour la lumière du jour</t>
  </si>
  <si>
    <t>Surface totale de tous les locaux saisis</t>
  </si>
  <si>
    <t>Récapitulation des résultats pour les vues</t>
  </si>
  <si>
    <t xml:space="preserve">Un manuel détaillé est disponible sur le site internet de Minergie.   </t>
  </si>
  <si>
    <t xml:space="preserve">Istruzioni dettagliate possono essere trovate sul sito web Minergie.  </t>
  </si>
  <si>
    <t xml:space="preserve">Detailed instructions are available on the Minergie website.  </t>
  </si>
  <si>
    <t>Si vous avez des questions concernant la certification, veuillez contacter l'office de certification responsable.</t>
  </si>
  <si>
    <t>Formale Anpassungen (Erneuerung anstatt Modernisierung, Version 2023-1 anstatt 2.12, Passwort: 2023).</t>
  </si>
  <si>
    <t>Korrektur der französischen Texte (Übersetzerin: Anna Piguet).</t>
  </si>
  <si>
    <t>SLE</t>
  </si>
  <si>
    <t>Eingabe- und Fehlermeldungen einheitlich auf Deutsch (Vorschlag: Als nächsten Schritt dreisprachige Meldungen).</t>
  </si>
  <si>
    <t>Données des fenêtres</t>
  </si>
  <si>
    <t>Dénomination
-</t>
  </si>
  <si>
    <t>Part vitrée
%</t>
  </si>
  <si>
    <t>Valeur Tau
%</t>
  </si>
  <si>
    <t>Protéction solaire et ombrage dû à l'horizon</t>
  </si>
  <si>
    <t>Commande
-</t>
  </si>
  <si>
    <t>Ombrage dû à l'horizon
-</t>
  </si>
  <si>
    <t>Dénomination du local
-</t>
  </si>
  <si>
    <t>Données du local</t>
  </si>
  <si>
    <t>Übertrag aus weiterem Nachw.</t>
  </si>
  <si>
    <t>Report d'un autre justificatif</t>
  </si>
  <si>
    <t>Riporto di un'altra prova</t>
  </si>
  <si>
    <t>Carryover from further proof</t>
  </si>
  <si>
    <t>Locaux types et vues</t>
  </si>
  <si>
    <t>Tiefe genutzter Bereich
m</t>
  </si>
  <si>
    <t>Profondeur de la zone utilisée
m</t>
  </si>
  <si>
    <t>Profondeur de la vue
m</t>
  </si>
  <si>
    <t>Eléments visibles
-</t>
  </si>
  <si>
    <t>Résultats globaux</t>
  </si>
  <si>
    <t>Qualité des vues (sur l'ensemble des locaux)</t>
  </si>
  <si>
    <t>Fragenkatalog Erneuerung</t>
  </si>
  <si>
    <t>Questionnaire rénovation</t>
  </si>
  <si>
    <t>Questionnaire renovation</t>
  </si>
  <si>
    <t>Les ouvertures des fenêtres sont-elles maintenues ou augmentées ?</t>
  </si>
  <si>
    <t>Les surfaces de vitrage sont-elles maintenues ou augmentées ?</t>
  </si>
  <si>
    <t>A-t-on prêté attention, lors du choix du vitrage, à une valeur de transmission lumineuse élevée (Tau ≥ 70%) ?</t>
  </si>
  <si>
    <t>Pas d'éléments (p.ex, les balcons, les avant-toits) construits sur la façade qui diminuent la lumière du jour ?</t>
  </si>
  <si>
    <t xml:space="preserve">Les pièces (au moins les plafonds et les murs) ont-elles été peintes principalement avec des couleurs claires ? </t>
  </si>
  <si>
    <t>DIESES ARBEITSBLATT IST NUR BEI ERNEUERUNGSPROJEKTEN AUSZUFÜLLEN</t>
  </si>
  <si>
    <t>Bitte füllen Sie das Arbeitsblatt 'Tageslicht' für den Zustand nach der Erneuerung aus und bestimmen sie eine Gebäudekategorie die ihrem Gebäude am nächsten kommt:</t>
  </si>
  <si>
    <t>Veuillez remplir la feuille 'Lumière du jour' pour l'état après rénovation et déterminer la catégorie de bâtiment qui correspond le mieux à votre projet :</t>
  </si>
  <si>
    <t>Il requisito Minergie-ECO per ammodernamenti non é rispettato,  è necessario effettuare calcoli piu dettagliati (compilare il foglio calcolo illuminazione naturale).</t>
  </si>
  <si>
    <t>The requirements of Minergie-ECO are not respected. A detailed calculation is mandatory.</t>
  </si>
  <si>
    <t>Bâtiments avec une proportion moyenne de fenêtres</t>
  </si>
  <si>
    <t>Motorisé, automatique et à réglage des lamelles</t>
  </si>
  <si>
    <t>Vue dégagée, pas ou peu d'ombrage dû à l'horizon</t>
  </si>
  <si>
    <t>Ombrage moyen dû à l'horizon, angle d'obstruction entre 15° et 35°</t>
  </si>
  <si>
    <t>Emplacement en ville, ombrage important dû à l'horizon</t>
  </si>
  <si>
    <t>Sigle</t>
  </si>
  <si>
    <t>Abbreviazione</t>
  </si>
  <si>
    <t>Abbreviation</t>
  </si>
  <si>
    <t>Profondeur de la vue</t>
  </si>
  <si>
    <t>Saisissez la distance jusqu'à l'objet le plus proche (mesurée à partir de la façade).</t>
  </si>
  <si>
    <t>Eingabe einer Kurzbezeichnung (max. 4 Zeichen).</t>
  </si>
  <si>
    <t>Sie dürfen maximal 4 Zeichen eingeben.</t>
  </si>
  <si>
    <t>Vous pouvez saisir 4 caractères au maximum.</t>
  </si>
  <si>
    <t>Saisie d'une désignation courte (max. 4 caractères).</t>
  </si>
  <si>
    <t>Inserire una denominazione breve (max. 4 caratteri).</t>
  </si>
  <si>
    <t>È possibile inserire un massimo di 4 caratteri.</t>
  </si>
  <si>
    <t>Enter a short description (max. 4 characters).</t>
  </si>
  <si>
    <t>You may enter a maximum of 4 characters.</t>
  </si>
  <si>
    <t>Zu verwenden bis 31.12.2026</t>
  </si>
  <si>
    <t>A utiliser jusqu'à 31.12.2026</t>
  </si>
  <si>
    <t>To be used until 31.12.2026</t>
  </si>
  <si>
    <t>Erneuerung</t>
  </si>
  <si>
    <t>Die Anforderungen des Zusatzes ECO sind</t>
  </si>
  <si>
    <t>Les exigences du complément ECO</t>
  </si>
  <si>
    <t>Le esigenze del complemento ECO</t>
  </si>
  <si>
    <t>The requirements of the ECO add-on are</t>
  </si>
  <si>
    <t>Builder</t>
  </si>
  <si>
    <t>Construction nouvelle</t>
  </si>
  <si>
    <t>A56</t>
  </si>
  <si>
    <t>A41</t>
  </si>
  <si>
    <t>Salle des maîtres/ lieu de séjour</t>
  </si>
  <si>
    <t>Fragenkatalog_Erneuerung</t>
  </si>
  <si>
    <t>Tabelle Fragenkatalog Erneuerung</t>
  </si>
  <si>
    <t>Bewertungsskala Erneuerung</t>
  </si>
  <si>
    <t>A58</t>
  </si>
  <si>
    <t>A57</t>
  </si>
  <si>
    <t>Schulen</t>
  </si>
  <si>
    <r>
      <t xml:space="preserve">Überarbeitung, u. a. Korrektur Sonnenschutz; Integration temp. Ausnahmeregelung für Schulen (Erfüllung: </t>
    </r>
    <r>
      <rPr>
        <sz val="9"/>
        <rFont val="Calibri"/>
        <family val="2"/>
      </rPr>
      <t>≥</t>
    </r>
    <r>
      <rPr>
        <sz val="9"/>
        <rFont val="Arial"/>
        <family val="2"/>
      </rPr>
      <t xml:space="preserve"> 40 %).</t>
    </r>
  </si>
  <si>
    <t>hoch</t>
  </si>
  <si>
    <t>mittel</t>
  </si>
  <si>
    <t>ungenügend</t>
  </si>
  <si>
    <t>haut</t>
  </si>
  <si>
    <t>moyenne</t>
  </si>
  <si>
    <t>insuffisant</t>
  </si>
  <si>
    <t>alto</t>
  </si>
  <si>
    <t>media</t>
  </si>
  <si>
    <t>minimo</t>
  </si>
  <si>
    <t>insufficiente</t>
  </si>
  <si>
    <t>insufficient</t>
  </si>
  <si>
    <t>high</t>
  </si>
  <si>
    <t>medium</t>
  </si>
  <si>
    <t>Da utilizzare fino al 31.12.2026</t>
  </si>
  <si>
    <t>Bauvorhaben</t>
  </si>
  <si>
    <t>Progetto edilizio</t>
  </si>
  <si>
    <t>Projet de construction</t>
  </si>
  <si>
    <t>Building project</t>
  </si>
  <si>
    <t>Nutzung</t>
  </si>
  <si>
    <t>Utilisation</t>
  </si>
  <si>
    <t>Utilizzazione</t>
  </si>
  <si>
    <t>Use</t>
  </si>
  <si>
    <t>A33</t>
  </si>
  <si>
    <t xml:space="preserve">Integration von Nutzungen bzw. Gebäudekat. analog SIA und Minergie zwecks nutzungsspezifischer Resultate (Schule) </t>
  </si>
  <si>
    <t>A50</t>
  </si>
  <si>
    <t>Wohnen MFH</t>
  </si>
  <si>
    <t>Wohnen EFH</t>
  </si>
  <si>
    <t>Verkauf</t>
  </si>
  <si>
    <t>Industrie</t>
  </si>
  <si>
    <t>Lager</t>
  </si>
  <si>
    <t>Sportbauten</t>
  </si>
  <si>
    <t>Habitat collectif</t>
  </si>
  <si>
    <t>Habitat individuel</t>
  </si>
  <si>
    <t>Écoles</t>
  </si>
  <si>
    <t>Commerce</t>
  </si>
  <si>
    <t>Restauration</t>
  </si>
  <si>
    <t>Lieux de rassemblement</t>
  </si>
  <si>
    <t>Hôpitaux</t>
  </si>
  <si>
    <t>Installations sportives</t>
  </si>
  <si>
    <t>Piscines couvertes</t>
  </si>
  <si>
    <t>Dépôts</t>
  </si>
  <si>
    <t>Restaurants</t>
  </si>
  <si>
    <t>Versammlungslokale</t>
  </si>
  <si>
    <t>Spitäler</t>
  </si>
  <si>
    <t>Hallenbäder</t>
  </si>
  <si>
    <t>Abitazioni plurifamiliari</t>
  </si>
  <si>
    <t>Abitazioni monofamiliari</t>
  </si>
  <si>
    <t>Amministrazione</t>
  </si>
  <si>
    <t>Scuole</t>
  </si>
  <si>
    <t>Negozi</t>
  </si>
  <si>
    <t>Ristoranti</t>
  </si>
  <si>
    <t>Locali pubblici</t>
  </si>
  <si>
    <t>Ospedali</t>
  </si>
  <si>
    <t>Magazzini</t>
  </si>
  <si>
    <t>Impianti sportivi</t>
  </si>
  <si>
    <t>Piscine coperte</t>
  </si>
  <si>
    <t>Apartment building</t>
  </si>
  <si>
    <t>Single-family house</t>
  </si>
  <si>
    <t>Schools</t>
  </si>
  <si>
    <t>Retail</t>
  </si>
  <si>
    <t>Assembly halls</t>
  </si>
  <si>
    <t>Hospitals</t>
  </si>
  <si>
    <t>Industry</t>
  </si>
  <si>
    <t>Warehouses</t>
  </si>
  <si>
    <t>Sports buildings</t>
  </si>
  <si>
    <t>Indoor swimming pools</t>
  </si>
  <si>
    <t>Label-Plattform: wenn erfüllt mind. 50% übertragen.</t>
  </si>
  <si>
    <t>Piattaforma dei label: se sodisfatto min. 50% trasferito.</t>
  </si>
  <si>
    <t>Plateforme des labels : si rempli min. 50% transféré.</t>
  </si>
  <si>
    <t>Label-platform: if fulfilled transfer min. 50%.</t>
  </si>
  <si>
    <t>Achtung: Im Blatt Fenster muss Zelle B5 über einen Wert verfügen, damit Visual Basic läuft!</t>
  </si>
  <si>
    <t>Ungen. Raumfl.</t>
  </si>
  <si>
    <t>Mindesterf.</t>
  </si>
  <si>
    <t>Bonuserf.</t>
  </si>
  <si>
    <t>Total</t>
  </si>
  <si>
    <t>Dérogation pour les écoles : taux de l'autonomie en lumière naturelle d'au moins 40% (voir prescription 140.01 Lumière du jour).</t>
  </si>
  <si>
    <t>Esenzione per le scuole: un grado d'illuminazione naturale di almeno il 40% (vedi requisito 140.01 Illuminazione naturale).</t>
  </si>
  <si>
    <t>Ausnahmeregelung für Schulen: Tageslichterfüllungsgrad von mindestens 40% (siehe Vorgabe 140.01 Tageslicht).</t>
  </si>
  <si>
    <t>Ergebnis</t>
  </si>
  <si>
    <t>Punkte</t>
  </si>
  <si>
    <t>minimal</t>
  </si>
  <si>
    <t>minimale</t>
  </si>
  <si>
    <t>Renovationsfaktor</t>
  </si>
  <si>
    <t>Anteil der Raumfläche mit ungenügendem Ergebnis</t>
  </si>
  <si>
    <t>Part de surface avec un résultat insuffisant</t>
  </si>
  <si>
    <t>Quota di superficie con un risultato insufficiente</t>
  </si>
  <si>
    <t>Portion of floor area with insufficient daylight</t>
  </si>
  <si>
    <t>Tageslicht-Erfüllungsgrad über alle Räume</t>
  </si>
  <si>
    <t>Degré total d'autonomie en lumière du jour sur l'ensemble des locaux</t>
  </si>
  <si>
    <t>Quota d'illuminazione naturale</t>
  </si>
  <si>
    <t>Portion of daylight autonomy</t>
  </si>
  <si>
    <t>F01</t>
  </si>
  <si>
    <t>Schulen (Ausnahmeregelung)</t>
  </si>
  <si>
    <t>Écoles (dérogation)</t>
  </si>
  <si>
    <t>Scuole (esenzione)</t>
  </si>
  <si>
    <t>Schools (exemption)</t>
  </si>
  <si>
    <t>Exemption for schools: daylight autonomy of at least 40% (see requirement 140.1 Daylight).</t>
  </si>
  <si>
    <t>A14</t>
  </si>
  <si>
    <t>A26</t>
  </si>
  <si>
    <t>A29</t>
  </si>
  <si>
    <t>A20</t>
  </si>
  <si>
    <t>A31</t>
  </si>
  <si>
    <t>A34</t>
  </si>
  <si>
    <t>A37</t>
  </si>
  <si>
    <t>D31</t>
  </si>
  <si>
    <t>A59</t>
  </si>
  <si>
    <t>A47</t>
  </si>
  <si>
    <t>D47</t>
  </si>
  <si>
    <t>A39</t>
  </si>
  <si>
    <t>A42</t>
  </si>
  <si>
    <t>A45</t>
  </si>
  <si>
    <t>B12</t>
  </si>
  <si>
    <t>Wählen Sie die Nutzung mit dem grössten Flächenanteil.</t>
  </si>
  <si>
    <t>Select the use with the largest area share.</t>
  </si>
  <si>
    <t>Choisissez l'utilisation qui représente la plus grande surface.</t>
  </si>
  <si>
    <t>Selezionare l'utilizzazione con la quota di superficie maggiore.</t>
  </si>
  <si>
    <t>Erfassen Sie zuerst die Objektdaten im Blatt 'Überblick'.</t>
  </si>
  <si>
    <t>Saisissez d'abord les données du projet dans l'onglet 'Résumé'.</t>
  </si>
  <si>
    <t>Immettere prima i dati dell’oggetto nella scheda 'Riassunto'.</t>
  </si>
  <si>
    <t>First, fill out the fileds for the object data in the sheet 'Overview'.</t>
  </si>
  <si>
    <t>Die Anforderungen des Zusatzes ECO an Erneuerungen sind erfüllt. Es wird automatisch ein Tageslichterfüllungsgrad von 50% angenommen (genügend).</t>
  </si>
  <si>
    <t>Les exigences du complément ECO pour la rénovation sont remplies. Il est considéré automatiquement un degré de réalisation de lumière du jour de 50% (suffisant).</t>
  </si>
  <si>
    <t>Le esigenze del complemento ECO per ammodernamenti é automaticamente rispettato con un valore di rispetto pari al 50% (sufficiente), non è necessario effettuare calcoli piu dettagliati.</t>
  </si>
  <si>
    <t>The requirements of the ECO add-on for renovations are automatically respected with a daylight value of 50%. A more detailed calculation is not necessary.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</si>
</sst>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0.0"/>
    <numFmt numFmtId="166" formatCode="#,##0.0"/>
    <numFmt numFmtId="167" formatCode="0\ &quot;MJ/m²a&quot;"/>
    <numFmt numFmtId="168" formatCode="0\ &quot;MWh/a&quot;"/>
    <numFmt numFmtId="169" formatCode="dd/mm/yyyy;@"/>
    <numFmt numFmtId="170" formatCode="0&quot;°&quot;"/>
    <numFmt numFmtId="171" formatCode="0.0\ &quot;m²&quot;"/>
    <numFmt numFmtId="172" formatCode="0.0\ &quot;Pt.&quot;"/>
  </numFmts>
  <fonts count="44" x14ac:knownFonts="1">
    <font>
      <sz val="12"/>
      <name val="Arial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u/>
      <sz val="15"/>
      <color indexed="12"/>
      <name val="Arial"/>
      <family val="2"/>
    </font>
    <font>
      <sz val="10"/>
      <name val="Arial Narrow"/>
      <family val="2"/>
    </font>
    <font>
      <b/>
      <u/>
      <sz val="10"/>
      <color indexed="12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vertAlign val="superscript"/>
      <sz val="10"/>
      <name val="Arial"/>
      <family val="2"/>
    </font>
    <font>
      <sz val="10"/>
      <color indexed="10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sz val="12"/>
      <color indexed="9"/>
      <name val="Arial"/>
      <family val="2"/>
    </font>
    <font>
      <b/>
      <vertAlign val="subscript"/>
      <sz val="9"/>
      <name val="Arial"/>
      <family val="2"/>
    </font>
    <font>
      <vertAlign val="superscript"/>
      <sz val="10"/>
      <color indexed="9"/>
      <name val="Arial"/>
      <family val="2"/>
    </font>
    <font>
      <vertAlign val="subscript"/>
      <sz val="10"/>
      <color indexed="9"/>
      <name val="Arial"/>
      <family val="2"/>
    </font>
    <font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sz val="11"/>
      <color rgb="FF000000"/>
      <name val="Calibri"/>
      <family val="2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sz val="14"/>
      <color theme="0"/>
      <name val="Arial"/>
      <family val="2"/>
    </font>
    <font>
      <sz val="10"/>
      <color theme="5"/>
      <name val="Arial"/>
      <family val="2"/>
    </font>
    <font>
      <b/>
      <sz val="10"/>
      <color theme="5" tint="-0.249977111117893"/>
      <name val="Arial"/>
      <family val="2"/>
    </font>
    <font>
      <sz val="9"/>
      <color rgb="FF000000"/>
      <name val="Arial"/>
      <family val="2"/>
    </font>
    <font>
      <b/>
      <sz val="9"/>
      <color theme="5"/>
      <name val="Arial"/>
      <family val="2"/>
    </font>
    <font>
      <sz val="10"/>
      <color rgb="FF00B050"/>
      <name val="Arial"/>
      <family val="2"/>
    </font>
    <font>
      <sz val="9"/>
      <name val="Calibri"/>
      <family val="2"/>
    </font>
    <font>
      <sz val="10"/>
      <color rgb="FF7030A0"/>
      <name val="Arial"/>
      <family val="2"/>
    </font>
    <font>
      <b/>
      <sz val="9"/>
      <color rgb="FF7030A0"/>
      <name val="Arial"/>
      <family val="2"/>
    </font>
    <font>
      <sz val="9"/>
      <color rgb="FF7030A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D7E5E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BDE9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thick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hair">
        <color theme="0"/>
      </left>
      <right/>
      <top style="thick">
        <color theme="0"/>
      </top>
      <bottom/>
      <diagonal/>
    </border>
    <border>
      <left style="hair">
        <color theme="0"/>
      </left>
      <right/>
      <top style="thick">
        <color theme="0"/>
      </top>
      <bottom style="thick">
        <color theme="0"/>
      </bottom>
      <diagonal/>
    </border>
    <border>
      <left/>
      <right style="hair">
        <color theme="0"/>
      </right>
      <top style="thick">
        <color theme="0"/>
      </top>
      <bottom/>
      <diagonal/>
    </border>
    <border>
      <left/>
      <right style="hair">
        <color theme="0"/>
      </right>
      <top style="thick">
        <color theme="0"/>
      </top>
      <bottom style="thick">
        <color theme="0"/>
      </bottom>
      <diagonal/>
    </border>
    <border>
      <left/>
      <right/>
      <top/>
      <bottom style="hair">
        <color theme="0"/>
      </bottom>
      <diagonal/>
    </border>
    <border>
      <left/>
      <right style="hair">
        <color theme="0"/>
      </right>
      <top/>
      <bottom style="hair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hair">
        <color theme="0"/>
      </right>
      <top/>
      <bottom style="thick">
        <color theme="0"/>
      </bottom>
      <diagonal/>
    </border>
    <border>
      <left style="hair">
        <color theme="0"/>
      </left>
      <right style="hair">
        <color theme="0"/>
      </right>
      <top/>
      <bottom style="thick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 style="hair">
        <color theme="0"/>
      </bottom>
      <diagonal/>
    </border>
    <border>
      <left style="hair">
        <color theme="0"/>
      </left>
      <right/>
      <top/>
      <bottom style="thick">
        <color theme="0"/>
      </bottom>
      <diagonal/>
    </border>
    <border>
      <left style="hair">
        <color theme="0"/>
      </left>
      <right/>
      <top/>
      <bottom style="hair">
        <color theme="0"/>
      </bottom>
      <diagonal/>
    </border>
    <border>
      <left style="hair">
        <color theme="0"/>
      </left>
      <right style="hair">
        <color theme="0"/>
      </right>
      <top style="thick">
        <color theme="0"/>
      </top>
      <bottom/>
      <diagonal/>
    </border>
    <border>
      <left/>
      <right style="hair">
        <color theme="0"/>
      </right>
      <top style="hair">
        <color theme="0"/>
      </top>
      <bottom style="thick">
        <color theme="0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/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thick">
        <color theme="0"/>
      </bottom>
      <diagonal/>
    </border>
    <border>
      <left/>
      <right/>
      <top style="hair">
        <color theme="0"/>
      </top>
      <bottom style="thick">
        <color theme="0"/>
      </bottom>
      <diagonal/>
    </border>
    <border>
      <left style="hair">
        <color theme="0"/>
      </left>
      <right style="hair">
        <color theme="0"/>
      </right>
      <top/>
      <bottom/>
      <diagonal/>
    </border>
    <border>
      <left/>
      <right style="thin">
        <color theme="0"/>
      </right>
      <top style="thick">
        <color theme="0"/>
      </top>
      <bottom/>
      <diagonal/>
    </border>
    <border>
      <left/>
      <right style="thin">
        <color theme="0"/>
      </right>
      <top style="thick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ck">
        <color theme="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/>
      <diagonal/>
    </border>
  </borders>
  <cellStyleXfs count="7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0" borderId="0"/>
    <xf numFmtId="0" fontId="8" fillId="0" borderId="0"/>
    <xf numFmtId="0" fontId="6" fillId="0" borderId="0"/>
  </cellStyleXfs>
  <cellXfs count="311">
    <xf numFmtId="0" fontId="0" fillId="0" borderId="0" xfId="0"/>
    <xf numFmtId="0" fontId="6" fillId="0" borderId="0" xfId="0" applyFo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Protection="1">
      <protection hidden="1"/>
    </xf>
    <xf numFmtId="0" fontId="6" fillId="0" borderId="0" xfId="0" applyFont="1" applyAlignment="1" applyProtection="1">
      <alignment vertical="center"/>
      <protection hidden="1"/>
    </xf>
    <xf numFmtId="0" fontId="10" fillId="0" borderId="0" xfId="0" applyFont="1" applyProtection="1"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167" fontId="9" fillId="0" borderId="0" xfId="0" applyNumberFormat="1" applyFont="1" applyAlignment="1" applyProtection="1">
      <alignment horizontal="center" vertical="center"/>
      <protection hidden="1"/>
    </xf>
    <xf numFmtId="168" fontId="9" fillId="0" borderId="0" xfId="0" applyNumberFormat="1" applyFont="1" applyAlignment="1" applyProtection="1">
      <alignment horizontal="center" vertical="center"/>
      <protection hidden="1"/>
    </xf>
    <xf numFmtId="167" fontId="7" fillId="0" borderId="0" xfId="0" applyNumberFormat="1" applyFont="1" applyAlignment="1" applyProtection="1">
      <alignment horizontal="center" vertical="center"/>
      <protection hidden="1"/>
    </xf>
    <xf numFmtId="168" fontId="7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 wrapText="1"/>
      <protection hidden="1"/>
    </xf>
    <xf numFmtId="0" fontId="8" fillId="0" borderId="0" xfId="5" applyProtection="1"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16" fillId="0" borderId="0" xfId="0" applyFont="1"/>
    <xf numFmtId="0" fontId="16" fillId="0" borderId="1" xfId="0" applyFont="1" applyBorder="1"/>
    <xf numFmtId="0" fontId="11" fillId="0" borderId="0" xfId="0" applyFont="1"/>
    <xf numFmtId="0" fontId="2" fillId="0" borderId="0" xfId="0" applyFont="1" applyProtection="1">
      <protection hidden="1"/>
    </xf>
    <xf numFmtId="9" fontId="11" fillId="0" borderId="0" xfId="0" applyNumberFormat="1" applyFont="1"/>
    <xf numFmtId="9" fontId="6" fillId="0" borderId="0" xfId="0" applyNumberFormat="1" applyFont="1" applyAlignment="1" applyProtection="1">
      <alignment vertical="center" wrapText="1"/>
      <protection hidden="1"/>
    </xf>
    <xf numFmtId="9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>
      <alignment vertical="center"/>
    </xf>
    <xf numFmtId="9" fontId="21" fillId="0" borderId="0" xfId="0" applyNumberFormat="1" applyFont="1" applyAlignment="1" applyProtection="1">
      <alignment horizontal="right" vertical="center"/>
      <protection locked="0" hidden="1"/>
    </xf>
    <xf numFmtId="0" fontId="6" fillId="0" borderId="0" xfId="0" applyFont="1"/>
    <xf numFmtId="0" fontId="6" fillId="0" borderId="0" xfId="5" applyFont="1" applyAlignment="1" applyProtection="1">
      <alignment vertical="top" wrapText="1"/>
      <protection hidden="1"/>
    </xf>
    <xf numFmtId="0" fontId="6" fillId="0" borderId="0" xfId="5" applyFont="1" applyProtection="1">
      <protection hidden="1"/>
    </xf>
    <xf numFmtId="0" fontId="8" fillId="0" borderId="0" xfId="5"/>
    <xf numFmtId="0" fontId="6" fillId="0" borderId="0" xfId="5" applyFont="1"/>
    <xf numFmtId="0" fontId="7" fillId="0" borderId="0" xfId="5" applyFont="1"/>
    <xf numFmtId="0" fontId="28" fillId="4" borderId="0" xfId="5" applyFont="1" applyFill="1"/>
    <xf numFmtId="0" fontId="28" fillId="4" borderId="0" xfId="5" applyFont="1" applyFill="1" applyAlignment="1">
      <alignment vertical="center"/>
    </xf>
    <xf numFmtId="0" fontId="31" fillId="4" borderId="0" xfId="0" applyFont="1" applyFill="1" applyProtection="1">
      <protection hidden="1"/>
    </xf>
    <xf numFmtId="0" fontId="4" fillId="5" borderId="0" xfId="0" applyFont="1" applyFill="1" applyAlignment="1" applyProtection="1">
      <alignment vertical="center"/>
      <protection hidden="1"/>
    </xf>
    <xf numFmtId="0" fontId="6" fillId="5" borderId="0" xfId="0" applyFont="1" applyFill="1" applyAlignment="1" applyProtection="1">
      <alignment vertical="center"/>
      <protection hidden="1"/>
    </xf>
    <xf numFmtId="0" fontId="30" fillId="4" borderId="0" xfId="0" applyFont="1" applyFill="1"/>
    <xf numFmtId="0" fontId="28" fillId="4" borderId="2" xfId="5" applyFont="1" applyFill="1" applyBorder="1"/>
    <xf numFmtId="0" fontId="28" fillId="4" borderId="3" xfId="5" applyFont="1" applyFill="1" applyBorder="1" applyAlignment="1">
      <alignment horizontal="center" wrapText="1"/>
    </xf>
    <xf numFmtId="0" fontId="8" fillId="6" borderId="4" xfId="5" applyFill="1" applyBorder="1"/>
    <xf numFmtId="2" fontId="6" fillId="6" borderId="4" xfId="5" applyNumberFormat="1" applyFont="1" applyFill="1" applyBorder="1" applyAlignment="1">
      <alignment horizontal="center"/>
    </xf>
    <xf numFmtId="9" fontId="8" fillId="3" borderId="4" xfId="3" applyFont="1" applyFill="1" applyBorder="1" applyAlignment="1" applyProtection="1">
      <alignment horizontal="center"/>
    </xf>
    <xf numFmtId="2" fontId="8" fillId="3" borderId="4" xfId="5" applyNumberFormat="1" applyFill="1" applyBorder="1" applyAlignment="1">
      <alignment horizontal="center"/>
    </xf>
    <xf numFmtId="2" fontId="8" fillId="3" borderId="4" xfId="2" applyNumberFormat="1" applyFont="1" applyFill="1" applyBorder="1" applyAlignment="1" applyProtection="1">
      <alignment horizontal="center"/>
    </xf>
    <xf numFmtId="0" fontId="8" fillId="3" borderId="4" xfId="2" applyNumberFormat="1" applyFont="1" applyFill="1" applyBorder="1" applyAlignment="1" applyProtection="1">
      <alignment horizontal="center"/>
    </xf>
    <xf numFmtId="165" fontId="8" fillId="3" borderId="4" xfId="5" applyNumberFormat="1" applyFill="1" applyBorder="1" applyAlignment="1">
      <alignment horizontal="center"/>
    </xf>
    <xf numFmtId="165" fontId="6" fillId="6" borderId="4" xfId="5" applyNumberFormat="1" applyFont="1" applyFill="1" applyBorder="1" applyAlignment="1">
      <alignment horizontal="center"/>
    </xf>
    <xf numFmtId="165" fontId="8" fillId="6" borderId="4" xfId="5" applyNumberFormat="1" applyFill="1" applyBorder="1" applyAlignment="1">
      <alignment horizontal="center"/>
    </xf>
    <xf numFmtId="9" fontId="6" fillId="6" borderId="4" xfId="0" applyNumberFormat="1" applyFont="1" applyFill="1" applyBorder="1" applyAlignment="1">
      <alignment horizontal="center" vertical="center"/>
    </xf>
    <xf numFmtId="0" fontId="6" fillId="7" borderId="4" xfId="5" applyFont="1" applyFill="1" applyBorder="1" applyProtection="1">
      <protection locked="0"/>
    </xf>
    <xf numFmtId="165" fontId="6" fillId="7" borderId="4" xfId="3" applyNumberFormat="1" applyFont="1" applyFill="1" applyBorder="1" applyAlignment="1" applyProtection="1">
      <alignment horizontal="center"/>
      <protection locked="0"/>
    </xf>
    <xf numFmtId="0" fontId="8" fillId="7" borderId="4" xfId="5" applyFill="1" applyBorder="1" applyAlignment="1" applyProtection="1">
      <alignment horizontal="center"/>
      <protection locked="0"/>
    </xf>
    <xf numFmtId="165" fontId="8" fillId="7" borderId="4" xfId="3" applyNumberFormat="1" applyFont="1" applyFill="1" applyBorder="1" applyAlignment="1" applyProtection="1">
      <alignment horizontal="center"/>
      <protection locked="0"/>
    </xf>
    <xf numFmtId="0" fontId="8" fillId="8" borderId="4" xfId="5" applyFill="1" applyBorder="1" applyProtection="1">
      <protection locked="0"/>
    </xf>
    <xf numFmtId="165" fontId="8" fillId="8" borderId="4" xfId="5" applyNumberFormat="1" applyFill="1" applyBorder="1" applyAlignment="1" applyProtection="1">
      <alignment horizontal="center"/>
      <protection locked="0"/>
    </xf>
    <xf numFmtId="1" fontId="6" fillId="8" borderId="4" xfId="3" applyNumberFormat="1" applyFont="1" applyFill="1" applyBorder="1" applyAlignment="1" applyProtection="1">
      <alignment horizontal="center"/>
      <protection locked="0"/>
    </xf>
    <xf numFmtId="1" fontId="8" fillId="8" borderId="4" xfId="3" applyNumberFormat="1" applyFont="1" applyFill="1" applyBorder="1" applyAlignment="1" applyProtection="1">
      <alignment horizontal="center"/>
      <protection locked="0"/>
    </xf>
    <xf numFmtId="1" fontId="8" fillId="8" borderId="4" xfId="5" applyNumberFormat="1" applyFill="1" applyBorder="1" applyAlignment="1" applyProtection="1">
      <alignment horizontal="center"/>
      <protection locked="0"/>
    </xf>
    <xf numFmtId="0" fontId="8" fillId="6" borderId="5" xfId="5" applyFill="1" applyBorder="1"/>
    <xf numFmtId="0" fontId="8" fillId="6" borderId="5" xfId="5" applyFill="1" applyBorder="1" applyAlignment="1">
      <alignment vertical="center"/>
    </xf>
    <xf numFmtId="0" fontId="6" fillId="6" borderId="6" xfId="5" applyFont="1" applyFill="1" applyBorder="1" applyAlignment="1">
      <alignment vertical="center"/>
    </xf>
    <xf numFmtId="0" fontId="32" fillId="4" borderId="0" xfId="0" applyFont="1" applyFill="1" applyAlignment="1" applyProtection="1">
      <alignment vertical="center"/>
      <protection hidden="1"/>
    </xf>
    <xf numFmtId="0" fontId="25" fillId="0" borderId="0" xfId="0" applyFont="1"/>
    <xf numFmtId="0" fontId="3" fillId="0" borderId="0" xfId="0" applyFont="1"/>
    <xf numFmtId="0" fontId="11" fillId="6" borderId="0" xfId="0" applyFont="1" applyFill="1"/>
    <xf numFmtId="0" fontId="33" fillId="4" borderId="0" xfId="0" applyFont="1" applyFill="1" applyProtection="1">
      <protection hidden="1"/>
    </xf>
    <xf numFmtId="0" fontId="6" fillId="5" borderId="0" xfId="0" applyFont="1" applyFill="1" applyAlignment="1">
      <alignment horizontal="left"/>
    </xf>
    <xf numFmtId="0" fontId="6" fillId="5" borderId="0" xfId="0" applyFont="1" applyFill="1" applyAlignment="1">
      <alignment horizontal="left" wrapText="1"/>
    </xf>
    <xf numFmtId="0" fontId="6" fillId="6" borderId="0" xfId="0" applyFont="1" applyFill="1" applyAlignment="1">
      <alignment horizontal="left"/>
    </xf>
    <xf numFmtId="0" fontId="6" fillId="6" borderId="0" xfId="0" applyFont="1" applyFill="1" applyAlignment="1">
      <alignment horizontal="left" wrapText="1"/>
    </xf>
    <xf numFmtId="0" fontId="7" fillId="7" borderId="7" xfId="5" applyFont="1" applyFill="1" applyBorder="1" applyAlignment="1" applyProtection="1">
      <alignment horizontal="center" vertical="center"/>
      <protection locked="0"/>
    </xf>
    <xf numFmtId="0" fontId="4" fillId="6" borderId="8" xfId="0" applyFont="1" applyFill="1" applyBorder="1" applyAlignment="1" applyProtection="1">
      <alignment vertical="center" wrapText="1"/>
      <protection locked="0" hidden="1"/>
    </xf>
    <xf numFmtId="0" fontId="4" fillId="6" borderId="9" xfId="0" applyFont="1" applyFill="1" applyBorder="1" applyAlignment="1" applyProtection="1">
      <alignment vertical="center" wrapText="1"/>
      <protection locked="0" hidden="1"/>
    </xf>
    <xf numFmtId="0" fontId="4" fillId="0" borderId="8" xfId="0" applyFont="1" applyBorder="1" applyAlignment="1" applyProtection="1">
      <alignment vertical="center" wrapText="1"/>
      <protection hidden="1"/>
    </xf>
    <xf numFmtId="0" fontId="4" fillId="0" borderId="9" xfId="0" applyFont="1" applyBorder="1" applyAlignment="1" applyProtection="1">
      <alignment vertical="center" wrapText="1"/>
      <protection hidden="1"/>
    </xf>
    <xf numFmtId="0" fontId="20" fillId="0" borderId="8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19" fillId="0" borderId="7" xfId="0" applyFont="1" applyBorder="1" applyAlignment="1" applyProtection="1">
      <alignment horizontal="center" vertical="center"/>
      <protection hidden="1"/>
    </xf>
    <xf numFmtId="0" fontId="6" fillId="5" borderId="0" xfId="0" applyFont="1" applyFill="1" applyAlignment="1" applyProtection="1">
      <alignment vertical="center" wrapText="1"/>
      <protection hidden="1"/>
    </xf>
    <xf numFmtId="0" fontId="6" fillId="5" borderId="7" xfId="0" applyFont="1" applyFill="1" applyBorder="1" applyAlignment="1" applyProtection="1">
      <alignment horizontal="center" vertical="center"/>
      <protection locked="0"/>
    </xf>
    <xf numFmtId="0" fontId="7" fillId="5" borderId="0" xfId="5" applyFont="1" applyFill="1" applyAlignment="1" applyProtection="1">
      <alignment horizontal="center" vertical="center"/>
      <protection locked="0"/>
    </xf>
    <xf numFmtId="0" fontId="6" fillId="5" borderId="0" xfId="0" applyFont="1" applyFill="1" applyAlignment="1">
      <alignment vertical="center"/>
    </xf>
    <xf numFmtId="0" fontId="2" fillId="5" borderId="0" xfId="0" applyFont="1" applyFill="1" applyProtection="1">
      <protection hidden="1"/>
    </xf>
    <xf numFmtId="0" fontId="6" fillId="6" borderId="0" xfId="0" applyFont="1" applyFill="1" applyAlignment="1">
      <alignment horizontal="left" vertical="center"/>
    </xf>
    <xf numFmtId="0" fontId="6" fillId="6" borderId="5" xfId="5" applyFont="1" applyFill="1" applyBorder="1" applyAlignment="1">
      <alignment vertical="center"/>
    </xf>
    <xf numFmtId="0" fontId="28" fillId="4" borderId="3" xfId="5" applyFont="1" applyFill="1" applyBorder="1" applyAlignment="1">
      <alignment horizontal="left" wrapText="1"/>
    </xf>
    <xf numFmtId="0" fontId="28" fillId="4" borderId="3" xfId="5" applyFont="1" applyFill="1" applyBorder="1" applyAlignment="1">
      <alignment wrapText="1"/>
    </xf>
    <xf numFmtId="165" fontId="8" fillId="6" borderId="10" xfId="5" applyNumberFormat="1" applyFill="1" applyBorder="1" applyAlignment="1">
      <alignment vertical="center"/>
    </xf>
    <xf numFmtId="165" fontId="8" fillId="6" borderId="11" xfId="5" applyNumberFormat="1" applyFill="1" applyBorder="1" applyAlignment="1">
      <alignment vertical="center"/>
    </xf>
    <xf numFmtId="0" fontId="6" fillId="6" borderId="12" xfId="5" applyFont="1" applyFill="1" applyBorder="1" applyAlignment="1">
      <alignment vertical="center"/>
    </xf>
    <xf numFmtId="0" fontId="6" fillId="6" borderId="13" xfId="5" applyFont="1" applyFill="1" applyBorder="1" applyAlignment="1">
      <alignment vertical="center"/>
    </xf>
    <xf numFmtId="165" fontId="6" fillId="6" borderId="5" xfId="5" applyNumberFormat="1" applyFont="1" applyFill="1" applyBorder="1" applyAlignment="1">
      <alignment vertical="center"/>
    </xf>
    <xf numFmtId="165" fontId="6" fillId="6" borderId="6" xfId="5" applyNumberFormat="1" applyFont="1" applyFill="1" applyBorder="1" applyAlignment="1">
      <alignment vertical="center"/>
    </xf>
    <xf numFmtId="0" fontId="28" fillId="4" borderId="14" xfId="5" applyFont="1" applyFill="1" applyBorder="1"/>
    <xf numFmtId="0" fontId="32" fillId="4" borderId="14" xfId="5" applyFont="1" applyFill="1" applyBorder="1" applyAlignment="1">
      <alignment vertical="center"/>
    </xf>
    <xf numFmtId="0" fontId="8" fillId="4" borderId="14" xfId="5" applyFill="1" applyBorder="1"/>
    <xf numFmtId="0" fontId="28" fillId="4" borderId="15" xfId="5" applyFont="1" applyFill="1" applyBorder="1"/>
    <xf numFmtId="0" fontId="8" fillId="4" borderId="15" xfId="5" applyFill="1" applyBorder="1"/>
    <xf numFmtId="0" fontId="6" fillId="6" borderId="11" xfId="5" applyFont="1" applyFill="1" applyBorder="1" applyAlignment="1">
      <alignment vertical="center"/>
    </xf>
    <xf numFmtId="1" fontId="8" fillId="6" borderId="10" xfId="5" applyNumberFormat="1" applyFill="1" applyBorder="1" applyAlignment="1">
      <alignment vertical="center"/>
    </xf>
    <xf numFmtId="1" fontId="8" fillId="6" borderId="11" xfId="5" applyNumberFormat="1" applyFill="1" applyBorder="1" applyAlignment="1">
      <alignment vertical="center"/>
    </xf>
    <xf numFmtId="0" fontId="8" fillId="5" borderId="0" xfId="5" applyFill="1"/>
    <xf numFmtId="0" fontId="7" fillId="5" borderId="0" xfId="5" applyFont="1" applyFill="1"/>
    <xf numFmtId="0" fontId="7" fillId="5" borderId="0" xfId="5" applyFont="1" applyFill="1" applyAlignment="1">
      <alignment horizontal="center"/>
    </xf>
    <xf numFmtId="9" fontId="7" fillId="5" borderId="0" xfId="3" applyFont="1" applyFill="1" applyBorder="1" applyAlignment="1" applyProtection="1">
      <alignment horizontal="center"/>
    </xf>
    <xf numFmtId="170" fontId="7" fillId="5" borderId="0" xfId="5" applyNumberFormat="1" applyFont="1" applyFill="1" applyAlignment="1">
      <alignment horizontal="center"/>
    </xf>
    <xf numFmtId="0" fontId="6" fillId="5" borderId="0" xfId="5" applyFont="1" applyFill="1"/>
    <xf numFmtId="0" fontId="8" fillId="0" borderId="0" xfId="5" applyAlignment="1">
      <alignment vertical="center"/>
    </xf>
    <xf numFmtId="0" fontId="7" fillId="0" borderId="0" xfId="5" applyFont="1" applyAlignment="1">
      <alignment vertical="center"/>
    </xf>
    <xf numFmtId="0" fontId="5" fillId="0" borderId="0" xfId="5" applyFont="1" applyAlignment="1">
      <alignment horizontal="right" vertical="center"/>
    </xf>
    <xf numFmtId="0" fontId="25" fillId="0" borderId="0" xfId="5" applyFont="1" applyAlignment="1">
      <alignment vertical="center"/>
    </xf>
    <xf numFmtId="0" fontId="5" fillId="0" borderId="0" xfId="5" applyFont="1" applyAlignment="1">
      <alignment vertical="center"/>
    </xf>
    <xf numFmtId="0" fontId="14" fillId="0" borderId="0" xfId="1" applyFont="1" applyFill="1" applyBorder="1" applyAlignment="1" applyProtection="1">
      <alignment vertical="center"/>
    </xf>
    <xf numFmtId="0" fontId="25" fillId="0" borderId="0" xfId="5" applyFont="1" applyAlignment="1" applyProtection="1">
      <alignment vertical="center"/>
      <protection hidden="1"/>
    </xf>
    <xf numFmtId="0" fontId="5" fillId="0" borderId="0" xfId="5" applyFont="1" applyProtection="1">
      <protection hidden="1"/>
    </xf>
    <xf numFmtId="0" fontId="10" fillId="0" borderId="0" xfId="0" applyFont="1"/>
    <xf numFmtId="0" fontId="10" fillId="5" borderId="0" xfId="0" applyFont="1" applyFill="1"/>
    <xf numFmtId="0" fontId="4" fillId="0" borderId="0" xfId="0" applyFont="1"/>
    <xf numFmtId="0" fontId="4" fillId="2" borderId="0" xfId="0" applyFont="1" applyFill="1"/>
    <xf numFmtId="0" fontId="4" fillId="5" borderId="0" xfId="0" applyFont="1" applyFill="1"/>
    <xf numFmtId="0" fontId="34" fillId="4" borderId="0" xfId="0" applyFont="1" applyFill="1" applyAlignment="1">
      <alignment vertical="center"/>
    </xf>
    <xf numFmtId="0" fontId="3" fillId="5" borderId="0" xfId="0" applyFont="1" applyFill="1"/>
    <xf numFmtId="0" fontId="4" fillId="5" borderId="0" xfId="0" applyFont="1" applyFill="1" applyAlignment="1">
      <alignment vertical="center"/>
    </xf>
    <xf numFmtId="0" fontId="7" fillId="5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5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167" fontId="7" fillId="5" borderId="0" xfId="0" applyNumberFormat="1" applyFont="1" applyFill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8" fontId="7" fillId="5" borderId="0" xfId="0" applyNumberFormat="1" applyFont="1" applyFill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0" fontId="13" fillId="5" borderId="0" xfId="0" applyFont="1" applyFill="1" applyAlignment="1">
      <alignment vertical="center"/>
    </xf>
    <xf numFmtId="0" fontId="6" fillId="5" borderId="0" xfId="0" applyFont="1" applyFill="1" applyAlignment="1">
      <alignment vertical="center" wrapText="1"/>
    </xf>
    <xf numFmtId="0" fontId="6" fillId="0" borderId="0" xfId="0" applyFont="1" applyAlignment="1">
      <alignment vertical="center" wrapText="1"/>
    </xf>
    <xf numFmtId="0" fontId="1" fillId="2" borderId="0" xfId="0" applyFont="1" applyFill="1" applyAlignment="1">
      <alignment vertical="center"/>
    </xf>
    <xf numFmtId="0" fontId="31" fillId="4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6" fillId="3" borderId="16" xfId="0" applyFont="1" applyFill="1" applyBorder="1" applyAlignment="1">
      <alignment horizontal="left" vertical="center"/>
    </xf>
    <xf numFmtId="165" fontId="6" fillId="3" borderId="16" xfId="0" applyNumberFormat="1" applyFont="1" applyFill="1" applyBorder="1" applyAlignment="1">
      <alignment horizontal="right" vertical="center"/>
    </xf>
    <xf numFmtId="0" fontId="6" fillId="3" borderId="6" xfId="0" applyFont="1" applyFill="1" applyBorder="1" applyAlignment="1">
      <alignment vertical="center"/>
    </xf>
    <xf numFmtId="165" fontId="6" fillId="3" borderId="6" xfId="0" applyNumberFormat="1" applyFont="1" applyFill="1" applyBorder="1" applyAlignment="1">
      <alignment vertical="center"/>
    </xf>
    <xf numFmtId="1" fontId="6" fillId="3" borderId="6" xfId="0" applyNumberFormat="1" applyFont="1" applyFill="1" applyBorder="1" applyAlignment="1">
      <alignment vertical="center"/>
    </xf>
    <xf numFmtId="0" fontId="28" fillId="4" borderId="0" xfId="0" applyFont="1" applyFill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left" vertical="center"/>
    </xf>
    <xf numFmtId="0" fontId="28" fillId="0" borderId="0" xfId="0" applyFont="1"/>
    <xf numFmtId="0" fontId="28" fillId="4" borderId="15" xfId="0" applyFont="1" applyFill="1" applyBorder="1"/>
    <xf numFmtId="0" fontId="28" fillId="4" borderId="3" xfId="0" applyFont="1" applyFill="1" applyBorder="1" applyAlignment="1">
      <alignment wrapText="1"/>
    </xf>
    <xf numFmtId="0" fontId="28" fillId="4" borderId="3" xfId="0" applyFont="1" applyFill="1" applyBorder="1" applyAlignment="1">
      <alignment horizontal="center" wrapText="1"/>
    </xf>
    <xf numFmtId="0" fontId="6" fillId="6" borderId="17" xfId="0" applyFont="1" applyFill="1" applyBorder="1"/>
    <xf numFmtId="0" fontId="6" fillId="6" borderId="13" xfId="0" applyFont="1" applyFill="1" applyBorder="1"/>
    <xf numFmtId="0" fontId="6" fillId="8" borderId="18" xfId="0" applyFont="1" applyFill="1" applyBorder="1" applyProtection="1">
      <protection locked="0"/>
    </xf>
    <xf numFmtId="0" fontId="6" fillId="8" borderId="18" xfId="0" applyFont="1" applyFill="1" applyBorder="1" applyAlignment="1" applyProtection="1">
      <alignment horizontal="center"/>
      <protection locked="0"/>
    </xf>
    <xf numFmtId="9" fontId="6" fillId="8" borderId="18" xfId="0" applyNumberFormat="1" applyFont="1" applyFill="1" applyBorder="1" applyAlignment="1" applyProtection="1">
      <alignment horizontal="center"/>
      <protection locked="0"/>
    </xf>
    <xf numFmtId="0" fontId="6" fillId="8" borderId="20" xfId="0" applyFont="1" applyFill="1" applyBorder="1" applyAlignment="1" applyProtection="1">
      <alignment horizontal="center"/>
      <protection locked="0"/>
    </xf>
    <xf numFmtId="0" fontId="6" fillId="7" borderId="4" xfId="0" applyFont="1" applyFill="1" applyBorder="1" applyAlignment="1" applyProtection="1">
      <alignment horizontal="center"/>
      <protection locked="0"/>
    </xf>
    <xf numFmtId="0" fontId="15" fillId="7" borderId="4" xfId="0" applyFont="1" applyFill="1" applyBorder="1" applyProtection="1">
      <protection locked="0"/>
    </xf>
    <xf numFmtId="0" fontId="6" fillId="8" borderId="4" xfId="0" applyFont="1" applyFill="1" applyBorder="1" applyProtection="1">
      <protection locked="0"/>
    </xf>
    <xf numFmtId="0" fontId="6" fillId="8" borderId="4" xfId="0" applyFont="1" applyFill="1" applyBorder="1" applyAlignment="1" applyProtection="1">
      <alignment horizontal="center"/>
      <protection locked="0"/>
    </xf>
    <xf numFmtId="9" fontId="6" fillId="8" borderId="4" xfId="0" applyNumberFormat="1" applyFont="1" applyFill="1" applyBorder="1" applyAlignment="1" applyProtection="1">
      <alignment horizontal="center"/>
      <protection locked="0"/>
    </xf>
    <xf numFmtId="0" fontId="6" fillId="8" borderId="11" xfId="0" applyFont="1" applyFill="1" applyBorder="1" applyAlignment="1" applyProtection="1">
      <alignment horizontal="center"/>
      <protection locked="0"/>
    </xf>
    <xf numFmtId="0" fontId="32" fillId="4" borderId="21" xfId="5" applyFont="1" applyFill="1" applyBorder="1" applyAlignment="1">
      <alignment vertical="center"/>
    </xf>
    <xf numFmtId="0" fontId="6" fillId="10" borderId="22" xfId="5" applyFont="1" applyFill="1" applyBorder="1" applyAlignment="1" applyProtection="1">
      <alignment vertical="center"/>
      <protection locked="0"/>
    </xf>
    <xf numFmtId="0" fontId="6" fillId="10" borderId="4" xfId="5" applyFont="1" applyFill="1" applyBorder="1" applyAlignment="1" applyProtection="1">
      <alignment vertical="center"/>
      <protection locked="0"/>
    </xf>
    <xf numFmtId="0" fontId="19" fillId="0" borderId="0" xfId="0" applyFont="1" applyAlignment="1" applyProtection="1">
      <alignment horizontal="center" vertical="center"/>
      <protection hidden="1"/>
    </xf>
    <xf numFmtId="0" fontId="6" fillId="11" borderId="0" xfId="0" applyFont="1" applyFill="1"/>
    <xf numFmtId="0" fontId="6" fillId="12" borderId="0" xfId="0" applyFont="1" applyFill="1"/>
    <xf numFmtId="0" fontId="28" fillId="4" borderId="23" xfId="0" applyFont="1" applyFill="1" applyBorder="1" applyAlignment="1">
      <alignment wrapText="1"/>
    </xf>
    <xf numFmtId="1" fontId="6" fillId="6" borderId="10" xfId="5" applyNumberFormat="1" applyFont="1" applyFill="1" applyBorder="1" applyAlignment="1">
      <alignment vertical="center"/>
    </xf>
    <xf numFmtId="1" fontId="6" fillId="6" borderId="11" xfId="5" applyNumberFormat="1" applyFont="1" applyFill="1" applyBorder="1" applyAlignment="1">
      <alignment vertical="center"/>
    </xf>
    <xf numFmtId="0" fontId="32" fillId="4" borderId="24" xfId="5" applyFont="1" applyFill="1" applyBorder="1" applyAlignment="1">
      <alignment vertical="center"/>
    </xf>
    <xf numFmtId="2" fontId="6" fillId="8" borderId="18" xfId="0" applyNumberFormat="1" applyFont="1" applyFill="1" applyBorder="1" applyAlignment="1" applyProtection="1">
      <alignment horizontal="center"/>
      <protection locked="0"/>
    </xf>
    <xf numFmtId="2" fontId="6" fillId="8" borderId="4" xfId="0" applyNumberFormat="1" applyFont="1" applyFill="1" applyBorder="1" applyAlignment="1" applyProtection="1">
      <alignment horizontal="center"/>
      <protection locked="0"/>
    </xf>
    <xf numFmtId="9" fontId="6" fillId="8" borderId="4" xfId="5" applyNumberFormat="1" applyFont="1" applyFill="1" applyBorder="1" applyAlignment="1">
      <alignment horizontal="center"/>
    </xf>
    <xf numFmtId="0" fontId="6" fillId="2" borderId="0" xfId="0" applyFont="1" applyFill="1" applyAlignment="1">
      <alignment horizontal="left" vertical="center"/>
    </xf>
    <xf numFmtId="0" fontId="1" fillId="6" borderId="8" xfId="0" applyFont="1" applyFill="1" applyBorder="1" applyAlignment="1" applyProtection="1">
      <alignment horizontal="center" vertical="center"/>
      <protection hidden="1"/>
    </xf>
    <xf numFmtId="0" fontId="1" fillId="6" borderId="9" xfId="0" applyFont="1" applyFill="1" applyBorder="1" applyAlignment="1" applyProtection="1">
      <alignment horizontal="center" vertical="center"/>
      <protection hidden="1"/>
    </xf>
    <xf numFmtId="0" fontId="1" fillId="0" borderId="7" xfId="0" applyFont="1" applyBorder="1" applyAlignment="1" applyProtection="1">
      <alignment vertical="center" wrapText="1"/>
      <protection hidden="1"/>
    </xf>
    <xf numFmtId="0" fontId="1" fillId="0" borderId="0" xfId="0" applyFont="1" applyAlignment="1">
      <alignment horizontal="center" vertical="center"/>
    </xf>
    <xf numFmtId="0" fontId="1" fillId="6" borderId="6" xfId="5" applyFont="1" applyFill="1" applyBorder="1"/>
    <xf numFmtId="0" fontId="1" fillId="6" borderId="6" xfId="5" applyFont="1" applyFill="1" applyBorder="1" applyAlignment="1">
      <alignment vertical="center"/>
    </xf>
    <xf numFmtId="0" fontId="1" fillId="3" borderId="5" xfId="0" applyFont="1" applyFill="1" applyBorder="1" applyAlignment="1">
      <alignment vertical="center"/>
    </xf>
    <xf numFmtId="0" fontId="1" fillId="3" borderId="5" xfId="0" applyFont="1" applyFill="1" applyBorder="1" applyAlignment="1">
      <alignment horizontal="left" vertical="center"/>
    </xf>
    <xf numFmtId="0" fontId="32" fillId="4" borderId="25" xfId="5" applyFont="1" applyFill="1" applyBorder="1" applyAlignment="1">
      <alignment vertical="center"/>
    </xf>
    <xf numFmtId="0" fontId="32" fillId="4" borderId="26" xfId="5" applyFont="1" applyFill="1" applyBorder="1" applyAlignment="1">
      <alignment vertical="center"/>
    </xf>
    <xf numFmtId="0" fontId="28" fillId="4" borderId="29" xfId="5" applyFont="1" applyFill="1" applyBorder="1" applyAlignment="1">
      <alignment horizontal="center" wrapText="1"/>
    </xf>
    <xf numFmtId="0" fontId="6" fillId="8" borderId="4" xfId="5" applyFont="1" applyFill="1" applyBorder="1" applyAlignment="1" applyProtection="1">
      <alignment horizontal="center"/>
      <protection locked="0"/>
    </xf>
    <xf numFmtId="0" fontId="32" fillId="4" borderId="15" xfId="5" applyFont="1" applyFill="1" applyBorder="1" applyAlignment="1">
      <alignment vertical="center"/>
    </xf>
    <xf numFmtId="0" fontId="28" fillId="4" borderId="20" xfId="5" applyFont="1" applyFill="1" applyBorder="1" applyAlignment="1">
      <alignment horizontal="center" vertical="center" wrapText="1"/>
    </xf>
    <xf numFmtId="9" fontId="6" fillId="6" borderId="13" xfId="3" applyFont="1" applyFill="1" applyBorder="1" applyAlignment="1" applyProtection="1">
      <alignment horizontal="center" vertical="center"/>
    </xf>
    <xf numFmtId="0" fontId="6" fillId="6" borderId="13" xfId="5" applyFont="1" applyFill="1" applyBorder="1" applyAlignment="1">
      <alignment horizontal="center" vertical="center"/>
    </xf>
    <xf numFmtId="9" fontId="6" fillId="6" borderId="32" xfId="3" applyFont="1" applyFill="1" applyBorder="1" applyAlignment="1" applyProtection="1">
      <alignment horizontal="center" vertical="center"/>
    </xf>
    <xf numFmtId="171" fontId="6" fillId="10" borderId="30" xfId="5" applyNumberFormat="1" applyFont="1" applyFill="1" applyBorder="1" applyAlignment="1" applyProtection="1">
      <alignment horizontal="center" vertical="center"/>
      <protection locked="0"/>
    </xf>
    <xf numFmtId="171" fontId="6" fillId="10" borderId="31" xfId="5" applyNumberFormat="1" applyFont="1" applyFill="1" applyBorder="1" applyAlignment="1" applyProtection="1">
      <alignment horizontal="center" vertical="center"/>
      <protection locked="0"/>
    </xf>
    <xf numFmtId="171" fontId="6" fillId="6" borderId="12" xfId="5" applyNumberFormat="1" applyFont="1" applyFill="1" applyBorder="1" applyAlignment="1">
      <alignment horizontal="center" vertical="center"/>
    </xf>
    <xf numFmtId="171" fontId="6" fillId="6" borderId="13" xfId="5" applyNumberFormat="1" applyFont="1" applyFill="1" applyBorder="1" applyAlignment="1">
      <alignment horizontal="center" vertical="center"/>
    </xf>
    <xf numFmtId="172" fontId="6" fillId="10" borderId="30" xfId="5" applyNumberFormat="1" applyFont="1" applyFill="1" applyBorder="1" applyAlignment="1" applyProtection="1">
      <alignment horizontal="center" vertical="center"/>
      <protection locked="0"/>
    </xf>
    <xf numFmtId="2" fontId="6" fillId="6" borderId="12" xfId="5" applyNumberFormat="1" applyFont="1" applyFill="1" applyBorder="1" applyAlignment="1">
      <alignment horizontal="center" vertical="center"/>
    </xf>
    <xf numFmtId="172" fontId="6" fillId="6" borderId="33" xfId="5" applyNumberFormat="1" applyFont="1" applyFill="1" applyBorder="1" applyAlignment="1">
      <alignment horizontal="center" vertical="center"/>
    </xf>
    <xf numFmtId="1" fontId="6" fillId="6" borderId="4" xfId="5" applyNumberFormat="1" applyFont="1" applyFill="1" applyBorder="1" applyAlignment="1">
      <alignment horizontal="center"/>
    </xf>
    <xf numFmtId="0" fontId="6" fillId="9" borderId="4" xfId="5" applyFont="1" applyFill="1" applyBorder="1"/>
    <xf numFmtId="171" fontId="6" fillId="6" borderId="33" xfId="5" applyNumberFormat="1" applyFont="1" applyFill="1" applyBorder="1" applyAlignment="1">
      <alignment horizontal="center" vertical="center"/>
    </xf>
    <xf numFmtId="171" fontId="6" fillId="6" borderId="32" xfId="5" applyNumberFormat="1" applyFont="1" applyFill="1" applyBorder="1" applyAlignment="1">
      <alignment horizontal="center" vertical="center"/>
    </xf>
    <xf numFmtId="0" fontId="25" fillId="5" borderId="0" xfId="5" applyFont="1" applyFill="1" applyAlignment="1">
      <alignment vertical="center"/>
    </xf>
    <xf numFmtId="0" fontId="5" fillId="5" borderId="0" xfId="5" applyFont="1" applyFill="1" applyAlignment="1">
      <alignment vertical="center"/>
    </xf>
    <xf numFmtId="0" fontId="0" fillId="5" borderId="0" xfId="0" applyFill="1"/>
    <xf numFmtId="0" fontId="6" fillId="13" borderId="0" xfId="0" applyFont="1" applyFill="1"/>
    <xf numFmtId="1" fontId="6" fillId="3" borderId="6" xfId="0" applyNumberFormat="1" applyFont="1" applyFill="1" applyBorder="1" applyAlignment="1">
      <alignment horizontal="right" vertical="center"/>
    </xf>
    <xf numFmtId="0" fontId="6" fillId="0" borderId="0" xfId="0" applyFont="1" applyAlignment="1">
      <alignment horizontal="right"/>
    </xf>
    <xf numFmtId="0" fontId="6" fillId="0" borderId="0" xfId="0" applyFont="1" applyAlignment="1">
      <alignment vertical="top"/>
    </xf>
    <xf numFmtId="0" fontId="6" fillId="0" borderId="0" xfId="0" applyFont="1" applyAlignment="1">
      <alignment wrapText="1"/>
    </xf>
    <xf numFmtId="0" fontId="38" fillId="0" borderId="0" xfId="0" applyFont="1"/>
    <xf numFmtId="0" fontId="6" fillId="6" borderId="4" xfId="0" applyFont="1" applyFill="1" applyBorder="1"/>
    <xf numFmtId="0" fontId="39" fillId="0" borderId="0" xfId="0" applyFont="1"/>
    <xf numFmtId="0" fontId="0" fillId="0" borderId="0" xfId="0" applyAlignment="1">
      <alignment horizontal="center"/>
    </xf>
    <xf numFmtId="0" fontId="30" fillId="4" borderId="0" xfId="0" applyFont="1" applyFill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2" fontId="11" fillId="0" borderId="0" xfId="0" quotePrefix="1" applyNumberFormat="1" applyFont="1" applyAlignment="1">
      <alignment horizontal="center"/>
    </xf>
    <xf numFmtId="165" fontId="30" fillId="4" borderId="0" xfId="0" applyNumberFormat="1" applyFont="1" applyFill="1" applyAlignment="1">
      <alignment horizontal="center"/>
    </xf>
    <xf numFmtId="0" fontId="25" fillId="0" borderId="0" xfId="0" applyFont="1" applyAlignment="1">
      <alignment horizontal="left"/>
    </xf>
    <xf numFmtId="0" fontId="0" fillId="0" borderId="0" xfId="0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Protection="1">
      <protection hidden="1"/>
    </xf>
    <xf numFmtId="0" fontId="11" fillId="0" borderId="0" xfId="0" applyFont="1" applyAlignment="1">
      <alignment horizontal="right"/>
    </xf>
    <xf numFmtId="0" fontId="6" fillId="0" borderId="0" xfId="6" applyProtection="1">
      <protection hidden="1"/>
    </xf>
    <xf numFmtId="0" fontId="6" fillId="0" borderId="0" xfId="6" applyAlignment="1" applyProtection="1">
      <alignment vertical="top" wrapText="1"/>
      <protection hidden="1"/>
    </xf>
    <xf numFmtId="165" fontId="11" fillId="0" borderId="0" xfId="0" applyNumberFormat="1" applyFont="1" applyAlignment="1">
      <alignment horizontal="center"/>
    </xf>
    <xf numFmtId="165" fontId="11" fillId="0" borderId="0" xfId="0" quotePrefix="1" applyNumberFormat="1" applyFont="1" applyAlignment="1">
      <alignment horizontal="center"/>
    </xf>
    <xf numFmtId="0" fontId="5" fillId="6" borderId="6" xfId="5" applyFont="1" applyFill="1" applyBorder="1" applyAlignment="1">
      <alignment horizontal="center" vertical="center"/>
    </xf>
    <xf numFmtId="0" fontId="28" fillId="4" borderId="0" xfId="5" applyFont="1" applyFill="1" applyAlignment="1">
      <alignment horizontal="center" vertical="center"/>
    </xf>
    <xf numFmtId="165" fontId="6" fillId="6" borderId="5" xfId="5" applyNumberFormat="1" applyFont="1" applyFill="1" applyBorder="1" applyAlignment="1">
      <alignment horizontal="center" vertical="center"/>
    </xf>
    <xf numFmtId="165" fontId="6" fillId="6" borderId="6" xfId="5" applyNumberFormat="1" applyFont="1" applyFill="1" applyBorder="1" applyAlignment="1">
      <alignment horizontal="center" vertical="center"/>
    </xf>
    <xf numFmtId="2" fontId="7" fillId="6" borderId="5" xfId="5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28" fillId="4" borderId="3" xfId="0" applyFont="1" applyFill="1" applyBorder="1" applyAlignment="1">
      <alignment horizontal="left" wrapText="1"/>
    </xf>
    <xf numFmtId="0" fontId="6" fillId="8" borderId="18" xfId="0" applyFont="1" applyFill="1" applyBorder="1" applyAlignment="1" applyProtection="1">
      <alignment horizontal="left"/>
      <protection locked="0"/>
    </xf>
    <xf numFmtId="0" fontId="6" fillId="8" borderId="4" xfId="0" applyFont="1" applyFill="1" applyBorder="1" applyAlignment="1" applyProtection="1">
      <alignment horizontal="left"/>
      <protection locked="0"/>
    </xf>
    <xf numFmtId="0" fontId="6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5" fillId="7" borderId="4" xfId="0" applyFont="1" applyFill="1" applyBorder="1" applyAlignment="1" applyProtection="1">
      <alignment horizontal="left"/>
      <protection locked="0"/>
    </xf>
    <xf numFmtId="0" fontId="28" fillId="0" borderId="0" xfId="0" applyFont="1" applyAlignment="1">
      <alignment horizontal="right"/>
    </xf>
    <xf numFmtId="0" fontId="28" fillId="4" borderId="3" xfId="0" applyFont="1" applyFill="1" applyBorder="1" applyAlignment="1">
      <alignment horizontal="right" wrapText="1"/>
    </xf>
    <xf numFmtId="0" fontId="28" fillId="4" borderId="3" xfId="5" applyFont="1" applyFill="1" applyBorder="1" applyAlignment="1">
      <alignment horizontal="right" wrapText="1"/>
    </xf>
    <xf numFmtId="2" fontId="6" fillId="9" borderId="18" xfId="0" applyNumberFormat="1" applyFont="1" applyFill="1" applyBorder="1" applyAlignment="1">
      <alignment horizontal="right"/>
    </xf>
    <xf numFmtId="0" fontId="6" fillId="9" borderId="18" xfId="0" applyFont="1" applyFill="1" applyBorder="1" applyAlignment="1">
      <alignment horizontal="right"/>
    </xf>
    <xf numFmtId="0" fontId="6" fillId="9" borderId="4" xfId="0" applyFont="1" applyFill="1" applyBorder="1" applyAlignment="1">
      <alignment horizontal="right"/>
    </xf>
    <xf numFmtId="0" fontId="6" fillId="9" borderId="19" xfId="0" applyFont="1" applyFill="1" applyBorder="1" applyAlignment="1">
      <alignment horizontal="right"/>
    </xf>
    <xf numFmtId="0" fontId="6" fillId="8" borderId="4" xfId="6" applyFill="1" applyBorder="1" applyProtection="1">
      <protection locked="0"/>
    </xf>
    <xf numFmtId="0" fontId="6" fillId="7" borderId="4" xfId="6" applyFill="1" applyBorder="1" applyProtection="1">
      <protection locked="0"/>
    </xf>
    <xf numFmtId="165" fontId="6" fillId="8" borderId="4" xfId="6" applyNumberFormat="1" applyFill="1" applyBorder="1" applyAlignment="1" applyProtection="1">
      <alignment horizontal="center"/>
      <protection locked="0"/>
    </xf>
    <xf numFmtId="0" fontId="6" fillId="7" borderId="4" xfId="6" applyFill="1" applyBorder="1" applyAlignment="1" applyProtection="1">
      <alignment horizontal="center"/>
      <protection locked="0"/>
    </xf>
    <xf numFmtId="1" fontId="6" fillId="8" borderId="4" xfId="6" applyNumberFormat="1" applyFill="1" applyBorder="1" applyAlignment="1" applyProtection="1">
      <alignment horizontal="center"/>
      <protection locked="0"/>
    </xf>
    <xf numFmtId="0" fontId="35" fillId="0" borderId="0" xfId="0" applyFont="1" applyAlignment="1">
      <alignment horizontal="right"/>
    </xf>
    <xf numFmtId="0" fontId="41" fillId="0" borderId="0" xfId="0" applyFont="1"/>
    <xf numFmtId="0" fontId="42" fillId="0" borderId="0" xfId="0" applyFont="1"/>
    <xf numFmtId="0" fontId="43" fillId="0" borderId="0" xfId="0" applyFont="1"/>
    <xf numFmtId="9" fontId="43" fillId="0" borderId="0" xfId="0" applyNumberFormat="1" applyFont="1"/>
    <xf numFmtId="0" fontId="42" fillId="0" borderId="0" xfId="0" applyFont="1" applyAlignment="1">
      <alignment horizontal="right"/>
    </xf>
    <xf numFmtId="0" fontId="32" fillId="4" borderId="21" xfId="5" applyFont="1" applyFill="1" applyBorder="1" applyAlignment="1">
      <alignment horizontal="center" vertical="center"/>
    </xf>
    <xf numFmtId="0" fontId="42" fillId="14" borderId="0" xfId="0" applyFont="1" applyFill="1"/>
    <xf numFmtId="9" fontId="43" fillId="14" borderId="0" xfId="3" applyFont="1" applyFill="1"/>
    <xf numFmtId="9" fontId="43" fillId="14" borderId="0" xfId="0" applyNumberFormat="1" applyFont="1" applyFill="1"/>
    <xf numFmtId="0" fontId="43" fillId="14" borderId="0" xfId="0" applyFont="1" applyFill="1"/>
    <xf numFmtId="0" fontId="16" fillId="0" borderId="0" xfId="0" applyFont="1" applyAlignment="1">
      <alignment horizontal="right"/>
    </xf>
    <xf numFmtId="0" fontId="6" fillId="8" borderId="16" xfId="0" applyFont="1" applyFill="1" applyBorder="1" applyAlignment="1" applyProtection="1">
      <alignment vertical="center"/>
      <protection locked="0"/>
    </xf>
    <xf numFmtId="0" fontId="6" fillId="8" borderId="5" xfId="0" applyFont="1" applyFill="1" applyBorder="1" applyAlignment="1" applyProtection="1">
      <alignment vertical="center"/>
      <protection locked="0"/>
    </xf>
    <xf numFmtId="0" fontId="6" fillId="0" borderId="0" xfId="0" applyFont="1" applyAlignment="1">
      <alignment horizontal="left" vertical="top"/>
    </xf>
    <xf numFmtId="0" fontId="5" fillId="3" borderId="5" xfId="0" applyFont="1" applyFill="1" applyBorder="1" applyAlignment="1">
      <alignment horizontal="center" vertical="center"/>
    </xf>
    <xf numFmtId="169" fontId="6" fillId="8" borderId="0" xfId="0" applyNumberFormat="1" applyFont="1" applyFill="1" applyAlignment="1" applyProtection="1">
      <alignment horizontal="left" vertical="center"/>
      <protection locked="0"/>
    </xf>
    <xf numFmtId="0" fontId="7" fillId="7" borderId="0" xfId="0" applyFont="1" applyFill="1" applyAlignment="1" applyProtection="1">
      <alignment vertical="center"/>
      <protection locked="0"/>
    </xf>
    <xf numFmtId="0" fontId="6" fillId="5" borderId="0" xfId="0" applyFont="1" applyFill="1" applyAlignment="1">
      <alignment horizontal="left" vertical="top"/>
    </xf>
    <xf numFmtId="0" fontId="32" fillId="4" borderId="21" xfId="0" applyFont="1" applyFill="1" applyBorder="1" applyAlignment="1">
      <alignment vertical="center"/>
    </xf>
    <xf numFmtId="0" fontId="32" fillId="4" borderId="14" xfId="0" applyFont="1" applyFill="1" applyBorder="1" applyAlignment="1">
      <alignment vertical="center"/>
    </xf>
    <xf numFmtId="0" fontId="32" fillId="4" borderId="15" xfId="0" applyFont="1" applyFill="1" applyBorder="1" applyAlignment="1">
      <alignment vertical="center"/>
    </xf>
    <xf numFmtId="0" fontId="32" fillId="4" borderId="21" xfId="0" applyFont="1" applyFill="1" applyBorder="1" applyAlignment="1">
      <alignment horizontal="left" vertical="center" wrapText="1"/>
    </xf>
    <xf numFmtId="0" fontId="32" fillId="4" borderId="14" xfId="0" applyFont="1" applyFill="1" applyBorder="1" applyAlignment="1">
      <alignment horizontal="left" vertical="center" wrapText="1"/>
    </xf>
    <xf numFmtId="0" fontId="32" fillId="4" borderId="15" xfId="0" applyFont="1" applyFill="1" applyBorder="1" applyAlignment="1">
      <alignment horizontal="left" vertical="center" wrapText="1"/>
    </xf>
    <xf numFmtId="0" fontId="32" fillId="4" borderId="21" xfId="0" applyFont="1" applyFill="1" applyBorder="1" applyAlignment="1">
      <alignment horizontal="right" vertical="center"/>
    </xf>
    <xf numFmtId="0" fontId="32" fillId="4" borderId="14" xfId="0" applyFont="1" applyFill="1" applyBorder="1" applyAlignment="1">
      <alignment horizontal="right" vertical="center"/>
    </xf>
    <xf numFmtId="0" fontId="32" fillId="4" borderId="25" xfId="5" applyFont="1" applyFill="1" applyBorder="1" applyAlignment="1">
      <alignment vertical="center"/>
    </xf>
    <xf numFmtId="0" fontId="32" fillId="4" borderId="24" xfId="5" applyFont="1" applyFill="1" applyBorder="1" applyAlignment="1">
      <alignment vertical="center"/>
    </xf>
    <xf numFmtId="0" fontId="32" fillId="4" borderId="26" xfId="5" applyFont="1" applyFill="1" applyBorder="1" applyAlignment="1">
      <alignment vertical="center"/>
    </xf>
    <xf numFmtId="0" fontId="5" fillId="6" borderId="6" xfId="5" applyFont="1" applyFill="1" applyBorder="1" applyAlignment="1">
      <alignment horizontal="center" vertical="center"/>
    </xf>
    <xf numFmtId="0" fontId="28" fillId="4" borderId="20" xfId="5" applyFont="1" applyFill="1" applyBorder="1" applyAlignment="1">
      <alignment horizontal="center" vertical="center" wrapText="1"/>
    </xf>
    <xf numFmtId="0" fontId="28" fillId="4" borderId="16" xfId="5" applyFont="1" applyFill="1" applyBorder="1" applyAlignment="1">
      <alignment horizontal="center" vertical="center" wrapText="1"/>
    </xf>
    <xf numFmtId="0" fontId="28" fillId="4" borderId="27" xfId="5" applyFont="1" applyFill="1" applyBorder="1" applyAlignment="1">
      <alignment horizontal="center" vertical="center" wrapText="1"/>
    </xf>
    <xf numFmtId="0" fontId="28" fillId="4" borderId="23" xfId="5" applyFont="1" applyFill="1" applyBorder="1" applyAlignment="1">
      <alignment horizontal="center" vertical="center" wrapText="1"/>
    </xf>
    <xf numFmtId="0" fontId="28" fillId="4" borderId="16" xfId="5" applyFont="1" applyFill="1" applyBorder="1" applyAlignment="1">
      <alignment horizontal="center" vertical="top" wrapText="1"/>
    </xf>
    <xf numFmtId="0" fontId="28" fillId="4" borderId="27" xfId="5" applyFont="1" applyFill="1" applyBorder="1" applyAlignment="1">
      <alignment horizontal="center" vertical="top" wrapText="1"/>
    </xf>
    <xf numFmtId="0" fontId="28" fillId="4" borderId="28" xfId="5" applyFont="1" applyFill="1" applyBorder="1" applyAlignment="1">
      <alignment horizontal="center" vertical="top" wrapText="1"/>
    </xf>
    <xf numFmtId="0" fontId="6" fillId="7" borderId="11" xfId="5" applyFont="1" applyFill="1" applyBorder="1" applyProtection="1">
      <protection locked="0"/>
    </xf>
    <xf numFmtId="0" fontId="6" fillId="7" borderId="6" xfId="5" applyFont="1" applyFill="1" applyBorder="1" applyProtection="1">
      <protection locked="0"/>
    </xf>
    <xf numFmtId="0" fontId="32" fillId="4" borderId="21" xfId="5" applyFont="1" applyFill="1" applyBorder="1" applyAlignment="1">
      <alignment vertical="center"/>
    </xf>
    <xf numFmtId="0" fontId="32" fillId="4" borderId="15" xfId="5" applyFont="1" applyFill="1" applyBorder="1" applyAlignment="1">
      <alignment vertical="center"/>
    </xf>
    <xf numFmtId="0" fontId="28" fillId="4" borderId="27" xfId="5" applyFont="1" applyFill="1" applyBorder="1" applyAlignment="1">
      <alignment horizontal="center" wrapText="1"/>
    </xf>
    <xf numFmtId="0" fontId="28" fillId="4" borderId="28" xfId="5" applyFont="1" applyFill="1" applyBorder="1" applyAlignment="1">
      <alignment horizontal="center" wrapText="1"/>
    </xf>
    <xf numFmtId="0" fontId="8" fillId="7" borderId="11" xfId="5" applyFill="1" applyBorder="1" applyProtection="1">
      <protection locked="0"/>
    </xf>
    <xf numFmtId="0" fontId="8" fillId="7" borderId="6" xfId="5" applyFill="1" applyBorder="1" applyProtection="1">
      <protection locked="0"/>
    </xf>
    <xf numFmtId="0" fontId="32" fillId="4" borderId="21" xfId="5" applyFont="1" applyFill="1" applyBorder="1" applyAlignment="1">
      <alignment horizontal="left" vertical="center"/>
    </xf>
    <xf numFmtId="0" fontId="32" fillId="4" borderId="14" xfId="5" applyFont="1" applyFill="1" applyBorder="1" applyAlignment="1">
      <alignment horizontal="left" vertical="center"/>
    </xf>
    <xf numFmtId="0" fontId="1" fillId="6" borderId="9" xfId="0" applyFont="1" applyFill="1" applyBorder="1" applyAlignment="1" applyProtection="1">
      <alignment horizontal="center" vertical="center" wrapText="1"/>
      <protection hidden="1"/>
    </xf>
    <xf numFmtId="0" fontId="1" fillId="6" borderId="7" xfId="0" applyFont="1" applyFill="1" applyBorder="1" applyAlignment="1" applyProtection="1">
      <alignment horizontal="center" vertical="center" wrapText="1"/>
      <protection hidden="1"/>
    </xf>
    <xf numFmtId="0" fontId="36" fillId="5" borderId="0" xfId="0" applyFont="1" applyFill="1" applyAlignment="1" applyProtection="1">
      <alignment horizontal="left" vertical="center" wrapText="1"/>
      <protection hidden="1"/>
    </xf>
    <xf numFmtId="0" fontId="1" fillId="6" borderId="7" xfId="0" applyFont="1" applyFill="1" applyBorder="1" applyAlignment="1" applyProtection="1">
      <alignment horizontal="center" vertical="center"/>
      <protection hidden="1"/>
    </xf>
    <xf numFmtId="0" fontId="1" fillId="6" borderId="0" xfId="0" applyFont="1" applyFill="1" applyAlignment="1" applyProtection="1">
      <alignment horizontal="center" vertical="center"/>
      <protection hidden="1"/>
    </xf>
  </cellXfs>
  <cellStyles count="7">
    <cellStyle name="Komma" xfId="2" builtinId="3"/>
    <cellStyle name="Link" xfId="1" builtinId="8"/>
    <cellStyle name="Prozent" xfId="3" builtinId="5"/>
    <cellStyle name="Standard" xfId="0" builtinId="0"/>
    <cellStyle name="Standard 2" xfId="4" xr:uid="{00000000-0005-0000-0000-000004000000}"/>
    <cellStyle name="Standard_etool_4_Stand_23_11_05-neu" xfId="5" xr:uid="{00000000-0005-0000-0000-000005000000}"/>
    <cellStyle name="Standard_etool_4_Stand_23_11_05-neu 2" xfId="6" xr:uid="{00000000-0005-0000-0000-000006000000}"/>
  </cellStyles>
  <dxfs count="11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  <name val="Cambria"/>
        <scheme val="none"/>
      </font>
      <fill>
        <patternFill>
          <bgColor theme="5" tint="0.39994506668294322"/>
        </patternFill>
      </fill>
    </dxf>
    <dxf>
      <fill>
        <patternFill>
          <bgColor rgb="FFFFFF99"/>
        </patternFill>
      </fill>
    </dxf>
    <dxf>
      <fill>
        <patternFill>
          <bgColor rgb="FFABBA62"/>
        </patternFill>
      </fill>
    </dxf>
    <dxf>
      <fill>
        <patternFill>
          <bgColor theme="5"/>
        </patternFill>
      </fill>
    </dxf>
    <dxf>
      <fill>
        <patternFill>
          <bgColor theme="0" tint="-4.9989318521683403E-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BF8FF"/>
      <rgbColor rgb="0099FF99"/>
      <rgbColor rgb="00FFFFDD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AEAEA"/>
      <color rgb="FFD7E5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Radio" firstButton="1" fmlaLink="$F$25" lockText="1" noThreeD="1"/>
</file>

<file path=xl/ctrlProps/ctrlProp10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checked="Checked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image" Target="../media/image6.emf"/><Relationship Id="rId7" Type="http://schemas.openxmlformats.org/officeDocument/2006/relationships/image" Target="../media/image10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5" Type="http://schemas.openxmlformats.org/officeDocument/2006/relationships/image" Target="../media/image8.emf"/><Relationship Id="rId4" Type="http://schemas.openxmlformats.org/officeDocument/2006/relationships/image" Target="../media/image7.emf"/><Relationship Id="rId9" Type="http://schemas.openxmlformats.org/officeDocument/2006/relationships/image" Target="../media/image1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7</xdr:row>
      <xdr:rowOff>66675</xdr:rowOff>
    </xdr:from>
    <xdr:to>
      <xdr:col>5</xdr:col>
      <xdr:colOff>0</xdr:colOff>
      <xdr:row>7</xdr:row>
      <xdr:rowOff>466725</xdr:rowOff>
    </xdr:to>
    <xdr:sp macro="" textlink="">
      <xdr:nvSpPr>
        <xdr:cNvPr id="7169" name="Text Box 1">
          <a:extLst>
            <a:ext uri="{FF2B5EF4-FFF2-40B4-BE49-F238E27FC236}">
              <a16:creationId xmlns:a16="http://schemas.microsoft.com/office/drawing/2014/main" id="{00000000-0008-0000-0000-0000011C0000}"/>
            </a:ext>
          </a:extLst>
        </xdr:cNvPr>
        <xdr:cNvSpPr txBox="1">
          <a:spLocks noChangeArrowheads="1"/>
        </xdr:cNvSpPr>
      </xdr:nvSpPr>
      <xdr:spPr bwMode="auto">
        <a:xfrm>
          <a:off x="11420475" y="203835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10</xdr:row>
      <xdr:rowOff>0</xdr:rowOff>
    </xdr:from>
    <xdr:to>
      <xdr:col>8</xdr:col>
      <xdr:colOff>0</xdr:colOff>
      <xdr:row>10</xdr:row>
      <xdr:rowOff>0</xdr:rowOff>
    </xdr:to>
    <xdr:sp macro="" textlink="">
      <xdr:nvSpPr>
        <xdr:cNvPr id="7169" name="Text Box 1">
          <a:extLst>
            <a:ext uri="{FF2B5EF4-FFF2-40B4-BE49-F238E27FC236}">
              <a16:creationId xmlns:a16="http://schemas.microsoft.com/office/drawing/2014/main" id="{00000000-0008-0000-0400-0000011C0000}"/>
            </a:ext>
          </a:extLst>
        </xdr:cNvPr>
        <xdr:cNvSpPr txBox="1">
          <a:spLocks noChangeArrowheads="1"/>
        </xdr:cNvSpPr>
      </xdr:nvSpPr>
      <xdr:spPr bwMode="auto">
        <a:xfrm>
          <a:off x="11420475" y="203835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  <xdr:twoCellAnchor>
    <xdr:from>
      <xdr:col>6</xdr:col>
      <xdr:colOff>0</xdr:colOff>
      <xdr:row>8</xdr:row>
      <xdr:rowOff>123825</xdr:rowOff>
    </xdr:from>
    <xdr:to>
      <xdr:col>6</xdr:col>
      <xdr:colOff>0</xdr:colOff>
      <xdr:row>10</xdr:row>
      <xdr:rowOff>0</xdr:rowOff>
    </xdr:to>
    <xdr:sp macro="" textlink="">
      <xdr:nvSpPr>
        <xdr:cNvPr id="7170" name="Text Box 2">
          <a:extLst>
            <a:ext uri="{FF2B5EF4-FFF2-40B4-BE49-F238E27FC236}">
              <a16:creationId xmlns:a16="http://schemas.microsoft.com/office/drawing/2014/main" id="{00000000-0008-0000-0400-0000021C0000}"/>
            </a:ext>
          </a:extLst>
        </xdr:cNvPr>
        <xdr:cNvSpPr txBox="1">
          <a:spLocks noChangeArrowheads="1"/>
        </xdr:cNvSpPr>
      </xdr:nvSpPr>
      <xdr:spPr bwMode="auto">
        <a:xfrm>
          <a:off x="9410700" y="1905000"/>
          <a:ext cx="0" cy="1238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Anforderungen</a:t>
          </a:r>
        </a:p>
      </xdr:txBody>
    </xdr:sp>
    <xdr:clientData/>
  </xdr:twoCellAnchor>
  <xdr:twoCellAnchor editAs="oneCell">
    <xdr:from>
      <xdr:col>1</xdr:col>
      <xdr:colOff>352425</xdr:colOff>
      <xdr:row>24</xdr:row>
      <xdr:rowOff>57150</xdr:rowOff>
    </xdr:from>
    <xdr:to>
      <xdr:col>1</xdr:col>
      <xdr:colOff>1905000</xdr:colOff>
      <xdr:row>24</xdr:row>
      <xdr:rowOff>1066800</xdr:rowOff>
    </xdr:to>
    <xdr:pic>
      <xdr:nvPicPr>
        <xdr:cNvPr id="47993" name="Picture 30">
          <a:extLst>
            <a:ext uri="{FF2B5EF4-FFF2-40B4-BE49-F238E27FC236}">
              <a16:creationId xmlns:a16="http://schemas.microsoft.com/office/drawing/2014/main" id="{00000000-0008-0000-0400-000079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37433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24</xdr:row>
      <xdr:rowOff>57150</xdr:rowOff>
    </xdr:from>
    <xdr:to>
      <xdr:col>2</xdr:col>
      <xdr:colOff>1914525</xdr:colOff>
      <xdr:row>24</xdr:row>
      <xdr:rowOff>1066800</xdr:rowOff>
    </xdr:to>
    <xdr:pic>
      <xdr:nvPicPr>
        <xdr:cNvPr id="47994" name="Picture 31">
          <a:extLst>
            <a:ext uri="{FF2B5EF4-FFF2-40B4-BE49-F238E27FC236}">
              <a16:creationId xmlns:a16="http://schemas.microsoft.com/office/drawing/2014/main" id="{00000000-0008-0000-0400-00007A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37433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26</xdr:row>
      <xdr:rowOff>57150</xdr:rowOff>
    </xdr:from>
    <xdr:to>
      <xdr:col>0</xdr:col>
      <xdr:colOff>1895475</xdr:colOff>
      <xdr:row>26</xdr:row>
      <xdr:rowOff>1066800</xdr:rowOff>
    </xdr:to>
    <xdr:pic>
      <xdr:nvPicPr>
        <xdr:cNvPr id="47995" name="Picture 32">
          <a:extLst>
            <a:ext uri="{FF2B5EF4-FFF2-40B4-BE49-F238E27FC236}">
              <a16:creationId xmlns:a16="http://schemas.microsoft.com/office/drawing/2014/main" id="{00000000-0008-0000-0400-00007B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9339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26</xdr:row>
      <xdr:rowOff>47625</xdr:rowOff>
    </xdr:from>
    <xdr:to>
      <xdr:col>1</xdr:col>
      <xdr:colOff>1914525</xdr:colOff>
      <xdr:row>26</xdr:row>
      <xdr:rowOff>1057275</xdr:rowOff>
    </xdr:to>
    <xdr:pic>
      <xdr:nvPicPr>
        <xdr:cNvPr id="47996" name="Picture 33">
          <a:extLst>
            <a:ext uri="{FF2B5EF4-FFF2-40B4-BE49-F238E27FC236}">
              <a16:creationId xmlns:a16="http://schemas.microsoft.com/office/drawing/2014/main" id="{00000000-0008-0000-0400-00007C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49244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26</xdr:row>
      <xdr:rowOff>47625</xdr:rowOff>
    </xdr:from>
    <xdr:to>
      <xdr:col>2</xdr:col>
      <xdr:colOff>1924050</xdr:colOff>
      <xdr:row>26</xdr:row>
      <xdr:rowOff>1057275</xdr:rowOff>
    </xdr:to>
    <xdr:pic>
      <xdr:nvPicPr>
        <xdr:cNvPr id="47997" name="Picture 34">
          <a:extLst>
            <a:ext uri="{FF2B5EF4-FFF2-40B4-BE49-F238E27FC236}">
              <a16:creationId xmlns:a16="http://schemas.microsoft.com/office/drawing/2014/main" id="{00000000-0008-0000-0400-00007D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4924425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28</xdr:row>
      <xdr:rowOff>47625</xdr:rowOff>
    </xdr:from>
    <xdr:to>
      <xdr:col>0</xdr:col>
      <xdr:colOff>1905000</xdr:colOff>
      <xdr:row>28</xdr:row>
      <xdr:rowOff>1057275</xdr:rowOff>
    </xdr:to>
    <xdr:pic>
      <xdr:nvPicPr>
        <xdr:cNvPr id="47998" name="Picture 35">
          <a:extLst>
            <a:ext uri="{FF2B5EF4-FFF2-40B4-BE49-F238E27FC236}">
              <a16:creationId xmlns:a16="http://schemas.microsoft.com/office/drawing/2014/main" id="{00000000-0008-0000-0400-00007E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28</xdr:row>
      <xdr:rowOff>47625</xdr:rowOff>
    </xdr:from>
    <xdr:to>
      <xdr:col>1</xdr:col>
      <xdr:colOff>1924050</xdr:colOff>
      <xdr:row>28</xdr:row>
      <xdr:rowOff>1057275</xdr:rowOff>
    </xdr:to>
    <xdr:pic>
      <xdr:nvPicPr>
        <xdr:cNvPr id="47999" name="Picture 36">
          <a:extLst>
            <a:ext uri="{FF2B5EF4-FFF2-40B4-BE49-F238E27FC236}">
              <a16:creationId xmlns:a16="http://schemas.microsoft.com/office/drawing/2014/main" id="{00000000-0008-0000-0400-00007FBB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28</xdr:row>
      <xdr:rowOff>47625</xdr:rowOff>
    </xdr:from>
    <xdr:to>
      <xdr:col>2</xdr:col>
      <xdr:colOff>1924050</xdr:colOff>
      <xdr:row>28</xdr:row>
      <xdr:rowOff>1057275</xdr:rowOff>
    </xdr:to>
    <xdr:pic>
      <xdr:nvPicPr>
        <xdr:cNvPr id="48000" name="Grafik 10" descr="Schule_viel.JPG">
          <a:extLst>
            <a:ext uri="{FF2B5EF4-FFF2-40B4-BE49-F238E27FC236}">
              <a16:creationId xmlns:a16="http://schemas.microsoft.com/office/drawing/2014/main" id="{00000000-0008-0000-0400-000080B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611505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24</xdr:row>
      <xdr:rowOff>47625</xdr:rowOff>
    </xdr:from>
    <xdr:to>
      <xdr:col>0</xdr:col>
      <xdr:colOff>1885950</xdr:colOff>
      <xdr:row>24</xdr:row>
      <xdr:rowOff>1057275</xdr:rowOff>
    </xdr:to>
    <xdr:pic>
      <xdr:nvPicPr>
        <xdr:cNvPr id="48001" name="Grafik 11" descr="Wohnen_wenig.JPG">
          <a:extLst>
            <a:ext uri="{FF2B5EF4-FFF2-40B4-BE49-F238E27FC236}">
              <a16:creationId xmlns:a16="http://schemas.microsoft.com/office/drawing/2014/main" id="{00000000-0008-0000-0400-000081B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733800"/>
          <a:ext cx="1552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10886</xdr:colOff>
          <xdr:row>24</xdr:row>
          <xdr:rowOff>402771</xdr:rowOff>
        </xdr:from>
        <xdr:to>
          <xdr:col>2</xdr:col>
          <xdr:colOff>315686</xdr:colOff>
          <xdr:row>24</xdr:row>
          <xdr:rowOff>620486</xdr:rowOff>
        </xdr:to>
        <xdr:sp macro="" textlink="">
          <xdr:nvSpPr>
            <xdr:cNvPr id="39112" name="Option Button 200" hidden="1">
              <a:extLst>
                <a:ext uri="{63B3BB69-23CF-44E3-9099-C40C66FF867C}">
                  <a14:compatExt spid="_x0000_s39112"/>
                </a:ext>
                <a:ext uri="{FF2B5EF4-FFF2-40B4-BE49-F238E27FC236}">
                  <a16:creationId xmlns:a16="http://schemas.microsoft.com/office/drawing/2014/main" id="{00000000-0008-0000-0400-0000C8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32657</xdr:colOff>
          <xdr:row>26</xdr:row>
          <xdr:rowOff>419100</xdr:rowOff>
        </xdr:from>
        <xdr:to>
          <xdr:col>2</xdr:col>
          <xdr:colOff>337457</xdr:colOff>
          <xdr:row>26</xdr:row>
          <xdr:rowOff>642257</xdr:rowOff>
        </xdr:to>
        <xdr:sp macro="" textlink="">
          <xdr:nvSpPr>
            <xdr:cNvPr id="39114" name="Option Button 202" hidden="1">
              <a:extLst>
                <a:ext uri="{63B3BB69-23CF-44E3-9099-C40C66FF867C}">
                  <a14:compatExt spid="_x0000_s39114"/>
                </a:ext>
                <a:ext uri="{FF2B5EF4-FFF2-40B4-BE49-F238E27FC236}">
                  <a16:creationId xmlns:a16="http://schemas.microsoft.com/office/drawing/2014/main" id="{00000000-0008-0000-0400-0000CA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10886</xdr:colOff>
          <xdr:row>28</xdr:row>
          <xdr:rowOff>451757</xdr:rowOff>
        </xdr:from>
        <xdr:to>
          <xdr:col>2</xdr:col>
          <xdr:colOff>315686</xdr:colOff>
          <xdr:row>28</xdr:row>
          <xdr:rowOff>669471</xdr:rowOff>
        </xdr:to>
        <xdr:sp macro="" textlink="">
          <xdr:nvSpPr>
            <xdr:cNvPr id="39115" name="Option Button 203" hidden="1">
              <a:extLst>
                <a:ext uri="{63B3BB69-23CF-44E3-9099-C40C66FF867C}">
                  <a14:compatExt spid="_x0000_s39115"/>
                </a:ext>
                <a:ext uri="{FF2B5EF4-FFF2-40B4-BE49-F238E27FC236}">
                  <a16:creationId xmlns:a16="http://schemas.microsoft.com/office/drawing/2014/main" id="{00000000-0008-0000-0400-0000CB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10886</xdr:colOff>
          <xdr:row>28</xdr:row>
          <xdr:rowOff>429986</xdr:rowOff>
        </xdr:from>
        <xdr:to>
          <xdr:col>1</xdr:col>
          <xdr:colOff>315686</xdr:colOff>
          <xdr:row>28</xdr:row>
          <xdr:rowOff>647700</xdr:rowOff>
        </xdr:to>
        <xdr:sp macro="" textlink="">
          <xdr:nvSpPr>
            <xdr:cNvPr id="39116" name="Option Button 204" hidden="1">
              <a:extLst>
                <a:ext uri="{63B3BB69-23CF-44E3-9099-C40C66FF867C}">
                  <a14:compatExt spid="_x0000_s39116"/>
                </a:ext>
                <a:ext uri="{FF2B5EF4-FFF2-40B4-BE49-F238E27FC236}">
                  <a16:creationId xmlns:a16="http://schemas.microsoft.com/office/drawing/2014/main" id="{00000000-0008-0000-0400-0000CC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</xdr:row>
          <xdr:rowOff>419100</xdr:rowOff>
        </xdr:from>
        <xdr:to>
          <xdr:col>0</xdr:col>
          <xdr:colOff>304800</xdr:colOff>
          <xdr:row>28</xdr:row>
          <xdr:rowOff>642257</xdr:rowOff>
        </xdr:to>
        <xdr:sp macro="" textlink="">
          <xdr:nvSpPr>
            <xdr:cNvPr id="39117" name="Option Button 205" hidden="1">
              <a:extLst>
                <a:ext uri="{63B3BB69-23CF-44E3-9099-C40C66FF867C}">
                  <a14:compatExt spid="_x0000_s39117"/>
                </a:ext>
                <a:ext uri="{FF2B5EF4-FFF2-40B4-BE49-F238E27FC236}">
                  <a16:creationId xmlns:a16="http://schemas.microsoft.com/office/drawing/2014/main" id="{00000000-0008-0000-0400-0000CD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10886</xdr:colOff>
          <xdr:row>26</xdr:row>
          <xdr:rowOff>429986</xdr:rowOff>
        </xdr:from>
        <xdr:to>
          <xdr:col>1</xdr:col>
          <xdr:colOff>315686</xdr:colOff>
          <xdr:row>26</xdr:row>
          <xdr:rowOff>647700</xdr:rowOff>
        </xdr:to>
        <xdr:sp macro="" textlink="">
          <xdr:nvSpPr>
            <xdr:cNvPr id="39118" name="Option Button 206" hidden="1">
              <a:extLst>
                <a:ext uri="{63B3BB69-23CF-44E3-9099-C40C66FF867C}">
                  <a14:compatExt spid="_x0000_s39118"/>
                </a:ext>
                <a:ext uri="{FF2B5EF4-FFF2-40B4-BE49-F238E27FC236}">
                  <a16:creationId xmlns:a16="http://schemas.microsoft.com/office/drawing/2014/main" id="{00000000-0008-0000-0400-0000CE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</xdr:row>
          <xdr:rowOff>429986</xdr:rowOff>
        </xdr:from>
        <xdr:to>
          <xdr:col>0</xdr:col>
          <xdr:colOff>304800</xdr:colOff>
          <xdr:row>26</xdr:row>
          <xdr:rowOff>647700</xdr:rowOff>
        </xdr:to>
        <xdr:sp macro="" textlink="">
          <xdr:nvSpPr>
            <xdr:cNvPr id="39119" name="Option Button 207" hidden="1">
              <a:extLst>
                <a:ext uri="{63B3BB69-23CF-44E3-9099-C40C66FF867C}">
                  <a14:compatExt spid="_x0000_s39119"/>
                </a:ext>
                <a:ext uri="{FF2B5EF4-FFF2-40B4-BE49-F238E27FC236}">
                  <a16:creationId xmlns:a16="http://schemas.microsoft.com/office/drawing/2014/main" id="{00000000-0008-0000-0400-0000CF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</xdr:row>
          <xdr:rowOff>440871</xdr:rowOff>
        </xdr:from>
        <xdr:to>
          <xdr:col>0</xdr:col>
          <xdr:colOff>304800</xdr:colOff>
          <xdr:row>24</xdr:row>
          <xdr:rowOff>658586</xdr:rowOff>
        </xdr:to>
        <xdr:sp macro="" textlink="">
          <xdr:nvSpPr>
            <xdr:cNvPr id="39120" name="Option Button 208" hidden="1">
              <a:extLst>
                <a:ext uri="{63B3BB69-23CF-44E3-9099-C40C66FF867C}">
                  <a14:compatExt spid="_x0000_s39120"/>
                </a:ext>
                <a:ext uri="{FF2B5EF4-FFF2-40B4-BE49-F238E27FC236}">
                  <a16:creationId xmlns:a16="http://schemas.microsoft.com/office/drawing/2014/main" id="{00000000-0008-0000-0400-0000D0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457200</xdr:rowOff>
        </xdr:from>
        <xdr:to>
          <xdr:col>1</xdr:col>
          <xdr:colOff>304800</xdr:colOff>
          <xdr:row>24</xdr:row>
          <xdr:rowOff>680357</xdr:rowOff>
        </xdr:to>
        <xdr:sp macro="" textlink="">
          <xdr:nvSpPr>
            <xdr:cNvPr id="39121" name="Option Button 209" hidden="1">
              <a:extLst>
                <a:ext uri="{63B3BB69-23CF-44E3-9099-C40C66FF867C}">
                  <a14:compatExt spid="_x0000_s39121"/>
                </a:ext>
                <a:ext uri="{FF2B5EF4-FFF2-40B4-BE49-F238E27FC236}">
                  <a16:creationId xmlns:a16="http://schemas.microsoft.com/office/drawing/2014/main" id="{00000000-0008-0000-0400-0000D19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</xdr:row>
          <xdr:rowOff>136071</xdr:rowOff>
        </xdr:from>
        <xdr:to>
          <xdr:col>5</xdr:col>
          <xdr:colOff>0</xdr:colOff>
          <xdr:row>5</xdr:row>
          <xdr:rowOff>38100</xdr:rowOff>
        </xdr:to>
        <xdr:sp macro="" textlink="">
          <xdr:nvSpPr>
            <xdr:cNvPr id="40978" name="Button 18" descr="Tabellen umbenennen" hidden="1">
              <a:extLst>
                <a:ext uri="{63B3BB69-23CF-44E3-9099-C40C66FF867C}">
                  <a14:compatExt spid="_x0000_s40978"/>
                </a:ext>
                <a:ext uri="{FF2B5EF4-FFF2-40B4-BE49-F238E27FC236}">
                  <a16:creationId xmlns:a16="http://schemas.microsoft.com/office/drawing/2014/main" id="{00000000-0008-0000-0500-000012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de-CH" sz="9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Tabellen und Hilfstexte umbenennen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6.vml"/><Relationship Id="rId9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1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linguee.de/deutsch-englisch/uebersetzung/Restaurants.html" TargetMode="Externa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5">
    <tabColor theme="6" tint="-0.249977111117893"/>
    <pageSetUpPr fitToPage="1"/>
  </sheetPr>
  <dimension ref="A1:J93"/>
  <sheetViews>
    <sheetView showGridLines="0" tabSelected="1" workbookViewId="0">
      <selection activeCell="B5" sqref="B5:D5"/>
    </sheetView>
  </sheetViews>
  <sheetFormatPr baseColWidth="10" defaultColWidth="11.5625" defaultRowHeight="15" x14ac:dyDescent="0.35"/>
  <cols>
    <col min="1" max="1" width="19" style="118" customWidth="1"/>
    <col min="2" max="2" width="50" style="118" customWidth="1"/>
    <col min="3" max="3" width="16.875" style="118" customWidth="1"/>
    <col min="4" max="4" width="3.0625" style="118" customWidth="1"/>
    <col min="5" max="5" width="7.3125" style="120" customWidth="1"/>
    <col min="6" max="10" width="7.3125" style="118" customWidth="1"/>
    <col min="11" max="16384" width="11.5625" style="118"/>
  </cols>
  <sheetData>
    <row r="1" spans="1:10" ht="28.5" customHeight="1" x14ac:dyDescent="0.6">
      <c r="A1" s="63" t="str">
        <f>VLOOKUP(ADDRESS(ROW(),COLUMN(),4),MatrixTexteT1,2,FALSE)&amp;" "&amp;Version</f>
        <v>Strumento per l'illuminazione naturale ECO V2023.2</v>
      </c>
      <c r="B1" s="116"/>
      <c r="C1" s="116"/>
      <c r="D1" s="212" t="str">
        <f>VLOOKUP(ADDRESS(ROW(),COLUMN(),4),MatrixTexteT1,2,FALSE)</f>
        <v>Da utilizzare fino al 31.12.2026</v>
      </c>
      <c r="E1" s="117"/>
      <c r="F1" s="116"/>
      <c r="G1" s="116"/>
      <c r="H1" s="116"/>
      <c r="I1" s="116"/>
      <c r="J1" s="116"/>
    </row>
    <row r="2" spans="1:10" ht="9" customHeight="1" x14ac:dyDescent="0.35">
      <c r="A2" s="119"/>
      <c r="B2" s="119"/>
      <c r="C2" s="119"/>
      <c r="D2" s="119"/>
    </row>
    <row r="3" spans="1:10" ht="24.75" customHeight="1" x14ac:dyDescent="0.4">
      <c r="A3" s="121" t="str">
        <f>VLOOKUP(ADDRESS(ROW(),COLUMN(),4),MatrixTexteT1,2,FALSE)</f>
        <v>Dati Ogetto</v>
      </c>
      <c r="B3" s="121"/>
      <c r="C3" s="121"/>
      <c r="D3" s="121"/>
      <c r="E3" s="122"/>
      <c r="F3" s="64"/>
      <c r="G3" s="64"/>
      <c r="H3" s="64"/>
    </row>
    <row r="4" spans="1:10" s="24" customFormat="1" ht="9.75" customHeight="1" x14ac:dyDescent="0.35">
      <c r="A4" s="123"/>
      <c r="B4" s="123"/>
      <c r="C4" s="123"/>
      <c r="D4" s="123"/>
      <c r="E4" s="82"/>
    </row>
    <row r="5" spans="1:10" s="24" customFormat="1" ht="15" customHeight="1" thickBot="1" x14ac:dyDescent="0.4">
      <c r="A5" s="178" t="str">
        <f>VLOOKUP(ADDRESS(ROW(),COLUMN(),4),MatrixTexteT1,2,FALSE)</f>
        <v>Progetto</v>
      </c>
      <c r="B5" s="270"/>
      <c r="C5" s="270"/>
      <c r="D5" s="270"/>
      <c r="E5" s="82"/>
    </row>
    <row r="6" spans="1:10" s="24" customFormat="1" ht="15" customHeight="1" thickTop="1" x14ac:dyDescent="0.35">
      <c r="A6" s="82"/>
      <c r="B6" s="271"/>
      <c r="C6" s="271"/>
      <c r="D6" s="271"/>
      <c r="E6" s="82"/>
    </row>
    <row r="7" spans="1:10" s="24" customFormat="1" ht="9" customHeight="1" x14ac:dyDescent="0.35">
      <c r="A7" s="82"/>
      <c r="B7" s="82"/>
      <c r="C7" s="82"/>
      <c r="D7" s="123"/>
      <c r="E7" s="82"/>
    </row>
    <row r="8" spans="1:10" s="24" customFormat="1" ht="15" customHeight="1" x14ac:dyDescent="0.35">
      <c r="A8" s="178" t="str">
        <f>VLOOKUP(ADDRESS(ROW(),COLUMN(),4),MatrixTexteT1,2,FALSE)</f>
        <v>Progetto edilizio</v>
      </c>
      <c r="B8" s="275"/>
      <c r="C8" s="275"/>
      <c r="D8" s="275"/>
      <c r="E8" s="124"/>
      <c r="G8" s="125"/>
    </row>
    <row r="9" spans="1:10" s="24" customFormat="1" ht="15" customHeight="1" x14ac:dyDescent="0.35">
      <c r="A9" s="82"/>
      <c r="B9" s="126" t="str">
        <f>IF(Bauvorhaben=Neubau,Texte!$B$241,IF(Bauvorhaben=Erneuerung,Texte!$B$240,Texte!$B$29))</f>
        <v>Immettere prima i dati dell’oggetto nella scheda 'Riassunto'.</v>
      </c>
      <c r="C9" s="127"/>
      <c r="D9" s="123"/>
      <c r="E9" s="128"/>
      <c r="G9" s="129"/>
    </row>
    <row r="10" spans="1:10" s="24" customFormat="1" ht="9" customHeight="1" x14ac:dyDescent="0.35">
      <c r="A10" s="82"/>
      <c r="B10" s="82"/>
      <c r="C10" s="82"/>
      <c r="D10" s="123"/>
      <c r="E10" s="130"/>
      <c r="G10" s="131"/>
    </row>
    <row r="11" spans="1:10" s="24" customFormat="1" ht="15" customHeight="1" x14ac:dyDescent="0.35">
      <c r="A11" s="82" t="str">
        <f>VLOOKUP(ADDRESS(ROW(),COLUMN(),4),MatrixTexteT1,2,FALSE)</f>
        <v>Utilizzazione</v>
      </c>
      <c r="B11" s="275"/>
      <c r="C11" s="275"/>
      <c r="D11" s="275"/>
      <c r="E11" s="130"/>
      <c r="G11" s="131"/>
    </row>
    <row r="12" spans="1:10" s="24" customFormat="1" ht="15" customHeight="1" x14ac:dyDescent="0.35">
      <c r="A12" s="82"/>
      <c r="B12" s="126" t="str">
        <f>VLOOKUP(ADDRESS(ROW(),COLUMN(),4),MatrixTexteT1,2,FALSE)</f>
        <v>Selezionare l'utilizzazione con la quota di superficie maggiore.</v>
      </c>
      <c r="C12" s="127"/>
      <c r="D12" s="123"/>
      <c r="E12" s="130"/>
      <c r="G12" s="131"/>
    </row>
    <row r="13" spans="1:10" s="24" customFormat="1" ht="9" customHeight="1" x14ac:dyDescent="0.35">
      <c r="A13" s="82"/>
      <c r="B13" s="82"/>
      <c r="C13" s="82"/>
      <c r="D13" s="123"/>
      <c r="E13" s="130"/>
      <c r="G13" s="131"/>
    </row>
    <row r="14" spans="1:10" s="24" customFormat="1" ht="15" customHeight="1" thickBot="1" x14ac:dyDescent="0.4">
      <c r="A14" s="178" t="str">
        <f>VLOOKUP(ADDRESS(ROW(),COLUMN(),4),MatrixTexteT1,2,FALSE)</f>
        <v>Costruttore</v>
      </c>
      <c r="B14" s="270"/>
      <c r="C14" s="270"/>
      <c r="D14" s="270"/>
      <c r="E14" s="82"/>
    </row>
    <row r="15" spans="1:10" s="24" customFormat="1" ht="12.9" thickTop="1" x14ac:dyDescent="0.35">
      <c r="A15" s="82"/>
      <c r="B15" s="271"/>
      <c r="C15" s="271"/>
      <c r="D15" s="271"/>
      <c r="E15" s="82"/>
    </row>
    <row r="16" spans="1:10" s="24" customFormat="1" ht="9" customHeight="1" x14ac:dyDescent="0.35">
      <c r="A16" s="82"/>
      <c r="B16" s="82"/>
      <c r="C16" s="82"/>
      <c r="D16" s="123"/>
      <c r="E16" s="132"/>
    </row>
    <row r="17" spans="1:5" s="24" customFormat="1" ht="15" customHeight="1" thickBot="1" x14ac:dyDescent="0.4">
      <c r="A17" s="178" t="str">
        <f>VLOOKUP(ADDRESS(ROW(),COLUMN(),4),MatrixTexteT1,2,FALSE)</f>
        <v>Architetto</v>
      </c>
      <c r="B17" s="270"/>
      <c r="C17" s="270"/>
      <c r="D17" s="270"/>
      <c r="E17" s="82"/>
    </row>
    <row r="18" spans="1:5" s="24" customFormat="1" ht="15" customHeight="1" thickTop="1" x14ac:dyDescent="0.35">
      <c r="A18" s="82"/>
      <c r="B18" s="271"/>
      <c r="C18" s="271"/>
      <c r="D18" s="271"/>
      <c r="E18" s="82"/>
    </row>
    <row r="19" spans="1:5" s="24" customFormat="1" ht="9" customHeight="1" x14ac:dyDescent="0.35">
      <c r="A19" s="82"/>
      <c r="B19" s="82"/>
      <c r="C19" s="82"/>
      <c r="D19" s="123"/>
      <c r="E19" s="82"/>
    </row>
    <row r="20" spans="1:5" s="24" customFormat="1" ht="15" customHeight="1" thickBot="1" x14ac:dyDescent="0.4">
      <c r="A20" s="178" t="str">
        <f>VLOOKUP(ADDRESS(ROW(),COLUMN(),4),MatrixTexteT1,2,FALSE)</f>
        <v>Prog. Imp. elettrico</v>
      </c>
      <c r="B20" s="270"/>
      <c r="C20" s="270"/>
      <c r="D20" s="270"/>
      <c r="E20" s="82"/>
    </row>
    <row r="21" spans="1:5" s="134" customFormat="1" ht="15" customHeight="1" thickTop="1" x14ac:dyDescent="0.35">
      <c r="A21" s="82"/>
      <c r="B21" s="271"/>
      <c r="C21" s="271"/>
      <c r="D21" s="271"/>
      <c r="E21" s="133"/>
    </row>
    <row r="22" spans="1:5" s="24" customFormat="1" ht="9" customHeight="1" x14ac:dyDescent="0.35">
      <c r="A22" s="82"/>
      <c r="B22" s="82"/>
      <c r="C22" s="82"/>
      <c r="D22" s="123"/>
      <c r="E22" s="82"/>
    </row>
    <row r="23" spans="1:5" s="24" customFormat="1" ht="15" customHeight="1" thickBot="1" x14ac:dyDescent="0.4">
      <c r="A23" s="178" t="str">
        <f>VLOOKUP(ADDRESS(ROW(),COLUMN(),4),MatrixTexteT1,2,FALSE)</f>
        <v>Prog. illuminotecnica</v>
      </c>
      <c r="B23" s="270"/>
      <c r="C23" s="270"/>
      <c r="D23" s="270"/>
      <c r="E23" s="82"/>
    </row>
    <row r="24" spans="1:5" s="24" customFormat="1" ht="15" customHeight="1" thickTop="1" x14ac:dyDescent="0.35">
      <c r="A24" s="82"/>
      <c r="B24" s="271"/>
      <c r="C24" s="271"/>
      <c r="D24" s="271"/>
      <c r="E24" s="82"/>
    </row>
    <row r="25" spans="1:5" s="24" customFormat="1" ht="9" customHeight="1" x14ac:dyDescent="0.35">
      <c r="A25" s="82"/>
      <c r="B25" s="82"/>
      <c r="C25" s="82"/>
      <c r="D25" s="123"/>
      <c r="E25" s="82"/>
    </row>
    <row r="26" spans="1:5" s="24" customFormat="1" ht="15" customHeight="1" thickBot="1" x14ac:dyDescent="0.4">
      <c r="A26" s="178" t="str">
        <f>VLOOKUP(ADDRESS(ROW(),COLUMN(),4),MatrixTexteT1,2,FALSE)</f>
        <v>Autore verifica</v>
      </c>
      <c r="B26" s="270"/>
      <c r="C26" s="270"/>
      <c r="D26" s="270"/>
      <c r="E26" s="82"/>
    </row>
    <row r="27" spans="1:5" s="24" customFormat="1" ht="15" customHeight="1" thickTop="1" x14ac:dyDescent="0.35">
      <c r="A27" s="82"/>
      <c r="B27" s="271"/>
      <c r="C27" s="271"/>
      <c r="D27" s="271"/>
      <c r="E27" s="82"/>
    </row>
    <row r="28" spans="1:5" s="24" customFormat="1" ht="9" customHeight="1" x14ac:dyDescent="0.35">
      <c r="A28" s="82"/>
      <c r="B28" s="82"/>
      <c r="C28" s="82"/>
      <c r="D28" s="135"/>
      <c r="E28" s="82"/>
    </row>
    <row r="29" spans="1:5" s="24" customFormat="1" ht="15" customHeight="1" x14ac:dyDescent="0.35">
      <c r="A29" s="178" t="str">
        <f>VLOOKUP(ADDRESS(ROW(),COLUMN(),4),MatrixTexteT1,2,FALSE)</f>
        <v>Data</v>
      </c>
      <c r="B29" s="274"/>
      <c r="C29" s="274"/>
      <c r="D29" s="274"/>
      <c r="E29" s="82"/>
    </row>
    <row r="30" spans="1:5" s="24" customFormat="1" ht="25.5" customHeight="1" x14ac:dyDescent="0.35">
      <c r="A30" s="82"/>
      <c r="B30" s="82"/>
      <c r="C30" s="82"/>
      <c r="D30" s="135"/>
      <c r="E30" s="82"/>
    </row>
    <row r="31" spans="1:5" s="137" customFormat="1" ht="25.5" customHeight="1" x14ac:dyDescent="0.35">
      <c r="A31" s="121" t="str">
        <f>VLOOKUP(ADDRESS(ROW(),COLUMN(),4),MatrixTexteT1,2,FALSE)</f>
        <v>Riassunto illuminazione naturale</v>
      </c>
      <c r="B31" s="136"/>
      <c r="C31" s="136"/>
      <c r="D31" s="143" t="str">
        <f>VLOOKUP(ADDRESS(ROW(),COLUMN(),4),MatrixTexteT1,2,FALSE)</f>
        <v>Piattaforma dei label: se sodisfatto min. 50% trasferito.</v>
      </c>
      <c r="E31" s="123"/>
    </row>
    <row r="32" spans="1:5" ht="9.75" customHeight="1" x14ac:dyDescent="0.35">
      <c r="A32" s="123"/>
      <c r="B32" s="123"/>
      <c r="C32" s="123"/>
      <c r="D32" s="123"/>
    </row>
    <row r="33" spans="1:5" ht="15.45" thickBot="1" x14ac:dyDescent="0.4">
      <c r="A33" s="138" t="str">
        <f>VLOOKUP(ADDRESS(ROW(),COLUMN(),4),MatrixTexteT1,2,FALSE)</f>
        <v>Superficie netta totale</v>
      </c>
      <c r="B33" s="138"/>
      <c r="C33" s="139">
        <f>Illuminazione_naturale!N38</f>
        <v>0</v>
      </c>
      <c r="D33" s="138" t="s">
        <v>140</v>
      </c>
    </row>
    <row r="34" spans="1:5" ht="15.9" thickTop="1" thickBot="1" x14ac:dyDescent="0.4">
      <c r="A34" s="140" t="str">
        <f>VLOOKUP(ADDRESS(ROW(),COLUMN(),4),MatrixTexteT1,2,FALSE)</f>
        <v>Superficie principale con valutazione insufficiente</v>
      </c>
      <c r="B34" s="140"/>
      <c r="C34" s="141">
        <f>Illuminazione_naturale!N39</f>
        <v>0</v>
      </c>
      <c r="D34" s="140" t="s">
        <v>140</v>
      </c>
    </row>
    <row r="35" spans="1:5" ht="15.9" thickTop="1" thickBot="1" x14ac:dyDescent="0.4">
      <c r="A35" s="140" t="str">
        <f>Illuminazione_naturale!B39</f>
        <v>Quota di superficie con un risultato insufficiente</v>
      </c>
      <c r="B35" s="140"/>
      <c r="C35" s="142">
        <f>Illuminazione_naturale!P39</f>
        <v>0</v>
      </c>
      <c r="D35" s="140" t="s">
        <v>138</v>
      </c>
    </row>
    <row r="36" spans="1:5" ht="15.9" thickTop="1" thickBot="1" x14ac:dyDescent="0.4">
      <c r="A36" s="140" t="str">
        <f>Illuminazione_naturale!B38</f>
        <v>Quota d'illuminazione naturale</v>
      </c>
      <c r="B36" s="140"/>
      <c r="C36" s="142">
        <f>Illuminazione_naturale!P38</f>
        <v>0</v>
      </c>
      <c r="D36" s="140" t="s">
        <v>138</v>
      </c>
    </row>
    <row r="37" spans="1:5" ht="25.5" customHeight="1" thickTop="1" x14ac:dyDescent="0.35">
      <c r="A37" s="186" t="str">
        <f>VLOOKUP(ADDRESS(ROW(),COLUMN(),4),MatrixTexteT1,2,FALSE)</f>
        <v>Le esigenze del complemento ECO</v>
      </c>
      <c r="B37" s="185"/>
      <c r="C37" s="273" t="str">
        <f>Illuminazione_naturale!N40</f>
        <v>non sono soddisfatte</v>
      </c>
      <c r="D37" s="273"/>
    </row>
    <row r="38" spans="1:5" ht="25.5" customHeight="1" x14ac:dyDescent="0.35">
      <c r="A38" s="82"/>
      <c r="B38" s="82"/>
      <c r="C38" s="82"/>
      <c r="D38" s="82"/>
    </row>
    <row r="39" spans="1:5" s="137" customFormat="1" ht="25.5" customHeight="1" x14ac:dyDescent="0.35">
      <c r="A39" s="121" t="str">
        <f>VLOOKUP(ADDRESS(ROW(),COLUMN(),4),MatrixTexteT1,2,FALSE)</f>
        <v>Riassunto prospettive</v>
      </c>
      <c r="B39" s="136"/>
      <c r="C39" s="136"/>
      <c r="D39" s="136"/>
      <c r="E39" s="123"/>
    </row>
    <row r="40" spans="1:5" ht="9.75" customHeight="1" x14ac:dyDescent="0.35">
      <c r="A40" s="123"/>
      <c r="B40" s="123"/>
      <c r="C40" s="123"/>
      <c r="D40" s="123"/>
    </row>
    <row r="41" spans="1:5" ht="15.45" thickBot="1" x14ac:dyDescent="0.4">
      <c r="A41" s="138" t="str">
        <f>VLOOKUP(ADDRESS(ROW(),COLUMN(),4),MatrixTexteT1,2,FALSE)</f>
        <v>Superficie netta totale</v>
      </c>
      <c r="B41" s="138"/>
      <c r="C41" s="139">
        <f>Prospettive!G38</f>
        <v>0</v>
      </c>
      <c r="D41" s="138" t="s">
        <v>140</v>
      </c>
    </row>
    <row r="42" spans="1:5" ht="15.9" thickTop="1" thickBot="1" x14ac:dyDescent="0.4">
      <c r="A42" s="140" t="str">
        <f>VLOOKUP(ADDRESS(ROW(),COLUMN(),4),MatrixTexteT1,2,FALSE)</f>
        <v>Superficie principale con valutazione insufficiente</v>
      </c>
      <c r="B42" s="140"/>
      <c r="C42" s="141">
        <f>Prospettive!G39</f>
        <v>0</v>
      </c>
      <c r="D42" s="140" t="s">
        <v>140</v>
      </c>
    </row>
    <row r="43" spans="1:5" ht="15.9" thickTop="1" thickBot="1" x14ac:dyDescent="0.4">
      <c r="A43" s="140" t="str">
        <f>Prospettive!B39</f>
        <v>Quota di superficie con un risultato insufficiente</v>
      </c>
      <c r="B43" s="140"/>
      <c r="C43" s="142">
        <f>Prospettive!H39*100</f>
        <v>0</v>
      </c>
      <c r="D43" s="140" t="s">
        <v>138</v>
      </c>
    </row>
    <row r="44" spans="1:5" ht="15.9" thickTop="1" thickBot="1" x14ac:dyDescent="0.4">
      <c r="A44" s="140" t="str">
        <f>Prospettive!B38</f>
        <v>Qualità della vista (in tutte le locali)</v>
      </c>
      <c r="B44" s="140"/>
      <c r="C44" s="211" t="str">
        <f>Prospettive!H38</f>
        <v>insufficiente</v>
      </c>
      <c r="D44" s="140"/>
    </row>
    <row r="45" spans="1:5" ht="25.5" customHeight="1" thickTop="1" x14ac:dyDescent="0.35">
      <c r="A45" s="186" t="str">
        <f>VLOOKUP(ADDRESS(ROW(),COLUMN(),4),MatrixTexteT1,2,FALSE)</f>
        <v>Le esigenze del complemento ECO</v>
      </c>
      <c r="B45" s="185"/>
      <c r="C45" s="273" t="str">
        <f>Prospettive!G40</f>
        <v>non sono soddisfatte</v>
      </c>
      <c r="D45" s="273"/>
    </row>
    <row r="46" spans="1:5" ht="25.5" customHeight="1" x14ac:dyDescent="0.35">
      <c r="A46" s="82"/>
      <c r="B46" s="82"/>
      <c r="C46" s="82"/>
      <c r="D46" s="82"/>
    </row>
    <row r="47" spans="1:5" ht="26.25" customHeight="1" x14ac:dyDescent="0.35">
      <c r="A47" s="121" t="str">
        <f>VLOOKUP(ADDRESS(ROW(),COLUMN(),4),MatrixTexteT1,2,FALSE)</f>
        <v>Procedimento</v>
      </c>
      <c r="B47" s="136"/>
      <c r="C47" s="136"/>
      <c r="D47" s="143" t="str">
        <f>VLOOKUP(ADDRESS(ROW(),COLUMN(),4),MatrixTexteT1,2,FALSE)</f>
        <v xml:space="preserve">Istruzioni dettagliate possono essere trovate sul sito web Minergie.  </v>
      </c>
    </row>
    <row r="48" spans="1:5" ht="9" customHeight="1" x14ac:dyDescent="0.35">
      <c r="A48" s="82"/>
      <c r="B48" s="144"/>
      <c r="C48" s="144"/>
      <c r="D48" s="145"/>
    </row>
    <row r="49" spans="1:5" s="147" customFormat="1" ht="16.5" customHeight="1" x14ac:dyDescent="0.35">
      <c r="A49" s="272" t="str">
        <f t="shared" ref="A49:A59" si="0">VLOOKUP(ADDRESS(ROW(),COLUMN(),4),MatrixTexteT1,2,FALSE)</f>
        <v>Immettere prima i dati dell’oggetto nella scheda 'Riassunto'.</v>
      </c>
      <c r="B49" s="272"/>
      <c r="C49" s="272"/>
      <c r="D49" s="272"/>
      <c r="E49" s="146"/>
    </row>
    <row r="50" spans="1:5" s="147" customFormat="1" ht="16.5" customHeight="1" x14ac:dyDescent="0.35">
      <c r="A50" s="276" t="str">
        <f t="shared" si="0"/>
        <v>Se il progetto è un rinnovo, compilare il foglio 'Questionario_ammodernamento' .</v>
      </c>
      <c r="B50" s="276"/>
      <c r="C50" s="276"/>
      <c r="D50" s="276"/>
      <c r="E50" s="146"/>
    </row>
    <row r="51" spans="1:5" s="147" customFormat="1" ht="16.5" customHeight="1" x14ac:dyDescent="0.35">
      <c r="A51" s="276" t="str">
        <f t="shared" si="0"/>
        <v>Se il progetto è un nuovo edificio, andare al foglio 'Finestre'.</v>
      </c>
      <c r="B51" s="276"/>
      <c r="C51" s="276"/>
      <c r="D51" s="276"/>
      <c r="E51" s="146"/>
    </row>
    <row r="52" spans="1:5" s="147" customFormat="1" ht="16.5" customHeight="1" x14ac:dyDescent="0.35">
      <c r="A52" s="276" t="str">
        <f t="shared" si="0"/>
        <v>Immettere quindi i dati delle finestre dell' edificio nella tabella 'Finestre'.</v>
      </c>
      <c r="B52" s="276"/>
      <c r="C52" s="276"/>
      <c r="D52" s="276"/>
      <c r="E52" s="146"/>
    </row>
    <row r="53" spans="1:5" s="147" customFormat="1" ht="16.5" customHeight="1" x14ac:dyDescent="0.35">
      <c r="A53" s="276" t="str">
        <f t="shared" si="0"/>
        <v>Come passo successivo, nella scheda 'Illuminazione_naturale', inserire i dati del locale e delle finestre di pertinenza.</v>
      </c>
      <c r="B53" s="276"/>
      <c r="C53" s="276"/>
      <c r="D53" s="276"/>
      <c r="E53" s="146"/>
    </row>
    <row r="54" spans="1:5" s="147" customFormat="1" ht="16.5" customHeight="1" x14ac:dyDescent="0.35">
      <c r="A54" s="276" t="str">
        <f t="shared" si="0"/>
        <v>Infine, si inseriscono le viste per locale nel foglio 'Prospettive'.</v>
      </c>
      <c r="B54" s="276"/>
      <c r="C54" s="276"/>
      <c r="D54" s="276"/>
      <c r="E54" s="146"/>
    </row>
    <row r="55" spans="1:5" s="147" customFormat="1" ht="16.5" customHeight="1" x14ac:dyDescent="0.35">
      <c r="A55" s="276" t="str">
        <f t="shared" si="0"/>
        <v>Si prega di leggere gli aiuti che appaiono quando si clicca su un camp di immissione.</v>
      </c>
      <c r="B55" s="276"/>
      <c r="C55" s="276"/>
      <c r="D55" s="276"/>
      <c r="E55" s="146"/>
    </row>
    <row r="56" spans="1:5" s="147" customFormat="1" ht="16.5" customHeight="1" x14ac:dyDescent="0.35">
      <c r="A56" s="276" t="str">
        <f t="shared" si="0"/>
        <v>I risultati vengono visualizzati in fondo alla pagina nei fogli 'Riassunto' e 'Illuminazione_naturale'.</v>
      </c>
      <c r="B56" s="276"/>
      <c r="C56" s="276"/>
      <c r="D56" s="276"/>
      <c r="E56" s="146"/>
    </row>
    <row r="57" spans="1:5" s="147" customFormat="1" ht="16.5" customHeight="1" x14ac:dyDescent="0.35">
      <c r="A57" s="276" t="str">
        <f t="shared" si="0"/>
        <v>Se una tabella non è sufficiente, è possibile inserire i risultati di altri fogli in fondo al foglio 'Illuminazione_naturale'.</v>
      </c>
      <c r="B57" s="276"/>
      <c r="C57" s="276"/>
      <c r="D57" s="276"/>
      <c r="E57" s="146"/>
    </row>
    <row r="58" spans="1:5" s="147" customFormat="1" ht="16.5" customHeight="1" x14ac:dyDescent="0.35">
      <c r="A58" s="276" t="str">
        <f t="shared" si="0"/>
        <v>Se avete domande sugli oggetti di certificazione, contattate il centro di certificazione competente.</v>
      </c>
      <c r="B58" s="276"/>
      <c r="C58" s="276"/>
      <c r="D58" s="276"/>
      <c r="E58" s="146"/>
    </row>
    <row r="59" spans="1:5" x14ac:dyDescent="0.35">
      <c r="A59" s="276" t="str">
        <f t="shared" si="0"/>
        <v>Esenzione per le scuole: un grado d'illuminazione naturale di almeno il 40% (vedi requisito 140.01 Illuminazione naturale).</v>
      </c>
      <c r="B59" s="276"/>
      <c r="C59" s="276"/>
      <c r="D59" s="276"/>
    </row>
    <row r="93" spans="1:1" x14ac:dyDescent="0.35">
      <c r="A93" s="148">
        <v>5</v>
      </c>
    </row>
  </sheetData>
  <sheetProtection algorithmName="SHA-512" hashValue="GscV+oeUTqPTVO2NFfynyJAhdKCI4v8Y3vt+ExR6OXfEvNG0IrZ2wmuDYoJLUkaD69xv1jSeqwGPqi2TNUPkOQ==" saltValue="1LtxcLujSxm6Ta7upqohyQ==" spinCount="100000" sheet="1" objects="1" scenarios="1"/>
  <mergeCells count="28">
    <mergeCell ref="A51:D51"/>
    <mergeCell ref="A50:D50"/>
    <mergeCell ref="A59:D59"/>
    <mergeCell ref="A56:D56"/>
    <mergeCell ref="A52:D52"/>
    <mergeCell ref="A53:D53"/>
    <mergeCell ref="A55:D55"/>
    <mergeCell ref="A57:D57"/>
    <mergeCell ref="A58:D58"/>
    <mergeCell ref="A54:D54"/>
    <mergeCell ref="B5:D5"/>
    <mergeCell ref="B6:D6"/>
    <mergeCell ref="B8:D8"/>
    <mergeCell ref="B14:D14"/>
    <mergeCell ref="B15:D15"/>
    <mergeCell ref="B11:D11"/>
    <mergeCell ref="B17:D17"/>
    <mergeCell ref="B18:D18"/>
    <mergeCell ref="B20:D20"/>
    <mergeCell ref="B21:D21"/>
    <mergeCell ref="A49:D49"/>
    <mergeCell ref="B23:D23"/>
    <mergeCell ref="C45:D45"/>
    <mergeCell ref="B24:D24"/>
    <mergeCell ref="B26:D26"/>
    <mergeCell ref="B27:D27"/>
    <mergeCell ref="B29:D29"/>
    <mergeCell ref="C37:D37"/>
  </mergeCells>
  <phoneticPr fontId="0" type="noConversion"/>
  <dataValidations count="2">
    <dataValidation type="list" allowBlank="1" showInputMessage="1" showErrorMessage="1" sqref="B8:D8" xr:uid="{00000000-0002-0000-0000-000000000000}">
      <formula1>ListBauvorhaben</formula1>
    </dataValidation>
    <dataValidation type="list" allowBlank="1" showInputMessage="1" showErrorMessage="1" sqref="B11 C11 D11" xr:uid="{F0411810-CC21-48B4-A22A-CACF65A65A6F}">
      <formula1>ListNutzung</formula1>
    </dataValidation>
  </dataValidations>
  <printOptions horizontalCentered="1"/>
  <pageMargins left="0.59055118110236227" right="0.59055118110236227" top="0.94488188976377963" bottom="0.59055118110236227" header="0.59055118110236227" footer="0.39370078740157483"/>
  <pageSetup paperSize="9" scale="85" orientation="portrait" horizontalDpi="4294967292" verticalDpi="300" r:id="rId1"/>
  <headerFooter>
    <oddHeader>&amp;R&amp;G</oddHeader>
    <oddFooter>&amp;L&amp;10&amp;F&amp;R&amp;10&amp;P von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>
    <tabColor rgb="FFCBDE90"/>
    <pageSetUpPr fitToPage="1"/>
  </sheetPr>
  <dimension ref="A1:R40"/>
  <sheetViews>
    <sheetView showGridLines="0" workbookViewId="0">
      <selection activeCell="B5" sqref="B5"/>
    </sheetView>
  </sheetViews>
  <sheetFormatPr baseColWidth="10" defaultColWidth="11.5625" defaultRowHeight="12.45" x14ac:dyDescent="0.3"/>
  <cols>
    <col min="1" max="1" width="2.6875" style="26" customWidth="1"/>
    <col min="2" max="2" width="5.3125" style="26" customWidth="1"/>
    <col min="3" max="3" width="17.6875" style="238" customWidth="1"/>
    <col min="4" max="5" width="5.3125" style="243" customWidth="1"/>
    <col min="6" max="6" width="7.25" style="243" bestFit="1" customWidth="1"/>
    <col min="7" max="7" width="6.0625" style="243" customWidth="1"/>
    <col min="8" max="8" width="7.3125" style="243" bestFit="1" customWidth="1"/>
    <col min="9" max="9" width="8.4375" style="243" bestFit="1" customWidth="1"/>
    <col min="10" max="10" width="6.5625" style="243" bestFit="1" customWidth="1"/>
    <col min="11" max="11" width="32.25" style="238" customWidth="1"/>
    <col min="12" max="12" width="31.5625" style="238" customWidth="1"/>
    <col min="13" max="13" width="41" style="238" customWidth="1"/>
    <col min="14" max="18" width="10.4375" style="212" hidden="1" customWidth="1"/>
    <col min="19" max="16384" width="11.5625" style="26"/>
  </cols>
  <sheetData>
    <row r="1" spans="1:18" ht="28.5" customHeight="1" x14ac:dyDescent="0.3">
      <c r="A1" s="111" t="str">
        <f>IF(Projektbez="","",Projektbez&amp;" – ")&amp;Texte!B43</f>
        <v>Dati di Finestre</v>
      </c>
    </row>
    <row r="2" spans="1:18" ht="9" customHeight="1" x14ac:dyDescent="0.3">
      <c r="B2" s="149">
        <v>1</v>
      </c>
      <c r="C2" s="239">
        <v>2</v>
      </c>
      <c r="D2" s="244">
        <v>3</v>
      </c>
      <c r="E2" s="244">
        <v>4</v>
      </c>
      <c r="F2" s="244">
        <v>5</v>
      </c>
      <c r="G2" s="244">
        <v>6</v>
      </c>
      <c r="H2" s="244">
        <v>7</v>
      </c>
      <c r="I2" s="244">
        <v>8</v>
      </c>
      <c r="J2" s="244">
        <v>9</v>
      </c>
      <c r="K2" s="239">
        <v>10</v>
      </c>
      <c r="L2" s="239">
        <v>11</v>
      </c>
      <c r="M2" s="239">
        <v>12</v>
      </c>
      <c r="N2" s="246">
        <v>13</v>
      </c>
      <c r="O2" s="246">
        <v>14</v>
      </c>
      <c r="P2" s="246">
        <v>15</v>
      </c>
      <c r="Q2" s="246">
        <v>16</v>
      </c>
      <c r="R2" s="246">
        <v>17</v>
      </c>
    </row>
    <row r="3" spans="1:18" ht="18.75" customHeight="1" x14ac:dyDescent="0.3">
      <c r="A3" s="150"/>
      <c r="B3" s="277" t="str">
        <f>VLOOKUP(ADDRESS(ROW(),COLUMN(),4),MatrixTexteT2,2,FALSE)</f>
        <v>Dati di Finestre</v>
      </c>
      <c r="C3" s="278"/>
      <c r="D3" s="278"/>
      <c r="E3" s="278"/>
      <c r="F3" s="278"/>
      <c r="G3" s="278"/>
      <c r="H3" s="278"/>
      <c r="I3" s="278"/>
      <c r="J3" s="279"/>
      <c r="K3" s="280" t="str">
        <f>VLOOKUP(ADDRESS(ROW(),COLUMN(),4),MatrixTexteT2,2,FALSE)</f>
        <v>Protezione solare e ombreggiatura</v>
      </c>
      <c r="L3" s="281"/>
      <c r="M3" s="282"/>
      <c r="N3" s="283" t="s">
        <v>144</v>
      </c>
      <c r="O3" s="284"/>
      <c r="P3" s="284"/>
      <c r="Q3" s="284"/>
      <c r="R3" s="284"/>
    </row>
    <row r="4" spans="1:18" ht="45.75" customHeight="1" thickBot="1" x14ac:dyDescent="0.45">
      <c r="A4" s="171" t="s">
        <v>658</v>
      </c>
      <c r="B4" s="151" t="str">
        <f>VLOOKUP(ADDRESS(ROW(),COLUMN(),4),MatrixTexteT2,2,FALSE)</f>
        <v>Abbrev.
-</v>
      </c>
      <c r="C4" s="240" t="str">
        <f t="shared" ref="C4:J4" si="0">VLOOKUP(ADDRESS(ROW(),COLUMN(),4),MatrixTexteT2,2,FALSE)</f>
        <v>Descrizione
-</v>
      </c>
      <c r="D4" s="152" t="str">
        <f t="shared" si="0"/>
        <v>Larghe-zza
m</v>
      </c>
      <c r="E4" s="152" t="str">
        <f t="shared" si="0"/>
        <v>Profon-dità
m</v>
      </c>
      <c r="F4" s="152" t="str">
        <f t="shared" si="0"/>
        <v>Port. vetrata
%</v>
      </c>
      <c r="G4" s="152" t="str">
        <f t="shared" si="0"/>
        <v>Coeff. di luminos.
%</v>
      </c>
      <c r="H4" s="152" t="str">
        <f t="shared" si="0"/>
        <v>Distanza dal soffitto
m</v>
      </c>
      <c r="I4" s="152" t="str">
        <f t="shared" si="0"/>
        <v>Sporgenza
m</v>
      </c>
      <c r="J4" s="152" t="str">
        <f t="shared" si="0"/>
        <v>Lucernari
-</v>
      </c>
      <c r="K4" s="240" t="str">
        <f>VLOOKUP(ADDRESS(ROW(),COLUMN(),4),MatrixTexteT2,2,FALSE)</f>
        <v>Tipo
-</v>
      </c>
      <c r="L4" s="240" t="str">
        <f>VLOOKUP(ADDRESS(ROW(),COLUMN(),4),MatrixTexteT2,2,FALSE)</f>
        <v>Controllo
-</v>
      </c>
      <c r="M4" s="240" t="str">
        <f>VLOOKUP(ADDRESS(ROW(),COLUMN(),4),MatrixTexteT2,2,FALSE)</f>
        <v>Ombreggiatura
-</v>
      </c>
      <c r="N4" s="247" t="s">
        <v>141</v>
      </c>
      <c r="O4" s="247" t="s">
        <v>75</v>
      </c>
      <c r="P4" s="247" t="s">
        <v>79</v>
      </c>
      <c r="Q4" s="247" t="s">
        <v>111</v>
      </c>
      <c r="R4" s="248" t="s">
        <v>142</v>
      </c>
    </row>
    <row r="5" spans="1:18" ht="13.3" thickTop="1" thickBot="1" x14ac:dyDescent="0.35">
      <c r="A5" s="153">
        <v>1</v>
      </c>
      <c r="B5" s="155" t="s">
        <v>1110</v>
      </c>
      <c r="C5" s="155"/>
      <c r="D5" s="156"/>
      <c r="E5" s="175"/>
      <c r="F5" s="157"/>
      <c r="G5" s="157"/>
      <c r="H5" s="156"/>
      <c r="I5" s="158"/>
      <c r="J5" s="159"/>
      <c r="K5" s="160"/>
      <c r="L5" s="160"/>
      <c r="M5" s="160"/>
      <c r="N5" s="249">
        <f t="shared" ref="N5:N39" si="1">IF(J5=Ja,ROUND(D5*E5*F5*2,2),ROUND(D5*E5*F5,2))</f>
        <v>0</v>
      </c>
      <c r="O5" s="250">
        <f t="shared" ref="O5:O39" si="2">IF(K5="",0,VLOOKUP(K5,MatrixSoSchu,2,FALSE))</f>
        <v>0</v>
      </c>
      <c r="P5" s="250">
        <f t="shared" ref="P5:P39" si="3">IF(L5="",0,VLOOKUP(L5,MatrixSoControl,2,FALSE))</f>
        <v>0</v>
      </c>
      <c r="Q5" s="250">
        <f t="shared" ref="Q5:Q39" si="4">IF(M5="",0,VLOOKUP(M5,MatrixHorizont,2,FALSE))</f>
        <v>0</v>
      </c>
      <c r="R5" s="250">
        <f>ROUND(IF(I5&gt;2,2,1/(1-(0.25*I5))),2)</f>
        <v>1</v>
      </c>
    </row>
    <row r="6" spans="1:18" ht="13.3" thickTop="1" thickBot="1" x14ac:dyDescent="0.35">
      <c r="A6" s="154">
        <v>2</v>
      </c>
      <c r="B6" s="161"/>
      <c r="C6" s="161"/>
      <c r="D6" s="162"/>
      <c r="E6" s="176"/>
      <c r="F6" s="163"/>
      <c r="G6" s="163"/>
      <c r="H6" s="162"/>
      <c r="I6" s="164"/>
      <c r="J6" s="159"/>
      <c r="K6" s="160"/>
      <c r="L6" s="160"/>
      <c r="M6" s="160"/>
      <c r="N6" s="249">
        <f t="shared" si="1"/>
        <v>0</v>
      </c>
      <c r="O6" s="251">
        <f t="shared" si="2"/>
        <v>0</v>
      </c>
      <c r="P6" s="251">
        <f t="shared" si="3"/>
        <v>0</v>
      </c>
      <c r="Q6" s="251">
        <f t="shared" si="4"/>
        <v>0</v>
      </c>
      <c r="R6" s="251">
        <f t="shared" ref="R6:R39" si="5">ROUND(IF(I6&gt;2,2,1/(1-(0.25*I6))),2)</f>
        <v>1</v>
      </c>
    </row>
    <row r="7" spans="1:18" ht="13.3" thickTop="1" thickBot="1" x14ac:dyDescent="0.35">
      <c r="A7" s="154">
        <v>3</v>
      </c>
      <c r="B7" s="161"/>
      <c r="C7" s="161"/>
      <c r="D7" s="162"/>
      <c r="E7" s="176"/>
      <c r="F7" s="163"/>
      <c r="G7" s="163"/>
      <c r="H7" s="162"/>
      <c r="I7" s="164"/>
      <c r="J7" s="159"/>
      <c r="K7" s="160"/>
      <c r="L7" s="160"/>
      <c r="M7" s="160"/>
      <c r="N7" s="249">
        <f t="shared" si="1"/>
        <v>0</v>
      </c>
      <c r="O7" s="251">
        <f t="shared" si="2"/>
        <v>0</v>
      </c>
      <c r="P7" s="251">
        <f t="shared" si="3"/>
        <v>0</v>
      </c>
      <c r="Q7" s="251">
        <f t="shared" si="4"/>
        <v>0</v>
      </c>
      <c r="R7" s="251">
        <f t="shared" si="5"/>
        <v>1</v>
      </c>
    </row>
    <row r="8" spans="1:18" ht="13.3" thickTop="1" thickBot="1" x14ac:dyDescent="0.35">
      <c r="A8" s="154">
        <v>4</v>
      </c>
      <c r="B8" s="161"/>
      <c r="C8" s="161"/>
      <c r="D8" s="162"/>
      <c r="E8" s="176"/>
      <c r="F8" s="163"/>
      <c r="G8" s="163"/>
      <c r="H8" s="162"/>
      <c r="I8" s="164"/>
      <c r="J8" s="159"/>
      <c r="K8" s="160"/>
      <c r="L8" s="160"/>
      <c r="M8" s="160"/>
      <c r="N8" s="249">
        <f t="shared" si="1"/>
        <v>0</v>
      </c>
      <c r="O8" s="251">
        <f t="shared" si="2"/>
        <v>0</v>
      </c>
      <c r="P8" s="251">
        <f t="shared" si="3"/>
        <v>0</v>
      </c>
      <c r="Q8" s="251">
        <f t="shared" si="4"/>
        <v>0</v>
      </c>
      <c r="R8" s="251">
        <f t="shared" si="5"/>
        <v>1</v>
      </c>
    </row>
    <row r="9" spans="1:18" ht="13.3" thickTop="1" thickBot="1" x14ac:dyDescent="0.35">
      <c r="A9" s="154">
        <v>5</v>
      </c>
      <c r="B9" s="161"/>
      <c r="C9" s="161"/>
      <c r="D9" s="162"/>
      <c r="E9" s="176"/>
      <c r="F9" s="163"/>
      <c r="G9" s="163"/>
      <c r="H9" s="162"/>
      <c r="I9" s="164"/>
      <c r="J9" s="159"/>
      <c r="K9" s="160"/>
      <c r="L9" s="160"/>
      <c r="M9" s="160"/>
      <c r="N9" s="249">
        <f t="shared" si="1"/>
        <v>0</v>
      </c>
      <c r="O9" s="251">
        <f t="shared" si="2"/>
        <v>0</v>
      </c>
      <c r="P9" s="251">
        <f t="shared" si="3"/>
        <v>0</v>
      </c>
      <c r="Q9" s="251">
        <f t="shared" si="4"/>
        <v>0</v>
      </c>
      <c r="R9" s="251">
        <f t="shared" si="5"/>
        <v>1</v>
      </c>
    </row>
    <row r="10" spans="1:18" ht="13.3" thickTop="1" thickBot="1" x14ac:dyDescent="0.35">
      <c r="A10" s="154">
        <v>6</v>
      </c>
      <c r="B10" s="161"/>
      <c r="C10" s="161"/>
      <c r="D10" s="162"/>
      <c r="E10" s="176"/>
      <c r="F10" s="163"/>
      <c r="G10" s="163"/>
      <c r="H10" s="162"/>
      <c r="I10" s="164"/>
      <c r="J10" s="159"/>
      <c r="K10" s="160"/>
      <c r="L10" s="160"/>
      <c r="M10" s="160"/>
      <c r="N10" s="249">
        <f t="shared" si="1"/>
        <v>0</v>
      </c>
      <c r="O10" s="251">
        <f t="shared" si="2"/>
        <v>0</v>
      </c>
      <c r="P10" s="251">
        <f t="shared" si="3"/>
        <v>0</v>
      </c>
      <c r="Q10" s="251">
        <f t="shared" si="4"/>
        <v>0</v>
      </c>
      <c r="R10" s="251">
        <f t="shared" si="5"/>
        <v>1</v>
      </c>
    </row>
    <row r="11" spans="1:18" ht="13.3" thickTop="1" thickBot="1" x14ac:dyDescent="0.35">
      <c r="A11" s="154">
        <v>7</v>
      </c>
      <c r="B11" s="161"/>
      <c r="C11" s="161"/>
      <c r="D11" s="162"/>
      <c r="E11" s="176"/>
      <c r="F11" s="163"/>
      <c r="G11" s="163"/>
      <c r="H11" s="162"/>
      <c r="I11" s="164"/>
      <c r="J11" s="159"/>
      <c r="K11" s="160"/>
      <c r="L11" s="160"/>
      <c r="M11" s="160"/>
      <c r="N11" s="249">
        <f t="shared" si="1"/>
        <v>0</v>
      </c>
      <c r="O11" s="251">
        <f t="shared" si="2"/>
        <v>0</v>
      </c>
      <c r="P11" s="251">
        <f t="shared" si="3"/>
        <v>0</v>
      </c>
      <c r="Q11" s="251">
        <f t="shared" si="4"/>
        <v>0</v>
      </c>
      <c r="R11" s="251">
        <f t="shared" si="5"/>
        <v>1</v>
      </c>
    </row>
    <row r="12" spans="1:18" ht="13.3" thickTop="1" thickBot="1" x14ac:dyDescent="0.35">
      <c r="A12" s="154">
        <v>8</v>
      </c>
      <c r="B12" s="161"/>
      <c r="C12" s="161"/>
      <c r="D12" s="162"/>
      <c r="E12" s="176"/>
      <c r="F12" s="163"/>
      <c r="G12" s="163"/>
      <c r="H12" s="162"/>
      <c r="I12" s="164"/>
      <c r="J12" s="159"/>
      <c r="K12" s="160"/>
      <c r="L12" s="160"/>
      <c r="M12" s="160"/>
      <c r="N12" s="249">
        <f t="shared" si="1"/>
        <v>0</v>
      </c>
      <c r="O12" s="251">
        <f t="shared" si="2"/>
        <v>0</v>
      </c>
      <c r="P12" s="251">
        <f t="shared" si="3"/>
        <v>0</v>
      </c>
      <c r="Q12" s="251">
        <f t="shared" si="4"/>
        <v>0</v>
      </c>
      <c r="R12" s="251">
        <f t="shared" si="5"/>
        <v>1</v>
      </c>
    </row>
    <row r="13" spans="1:18" ht="13.3" thickTop="1" thickBot="1" x14ac:dyDescent="0.35">
      <c r="A13" s="154">
        <v>9</v>
      </c>
      <c r="B13" s="161"/>
      <c r="C13" s="161"/>
      <c r="D13" s="162"/>
      <c r="E13" s="176"/>
      <c r="F13" s="163"/>
      <c r="G13" s="163"/>
      <c r="H13" s="162"/>
      <c r="I13" s="164"/>
      <c r="J13" s="159"/>
      <c r="K13" s="160"/>
      <c r="L13" s="160"/>
      <c r="M13" s="160"/>
      <c r="N13" s="249">
        <f t="shared" si="1"/>
        <v>0</v>
      </c>
      <c r="O13" s="251">
        <f t="shared" si="2"/>
        <v>0</v>
      </c>
      <c r="P13" s="251">
        <f t="shared" si="3"/>
        <v>0</v>
      </c>
      <c r="Q13" s="251">
        <f t="shared" si="4"/>
        <v>0</v>
      </c>
      <c r="R13" s="251">
        <f t="shared" si="5"/>
        <v>1</v>
      </c>
    </row>
    <row r="14" spans="1:18" ht="13.3" thickTop="1" thickBot="1" x14ac:dyDescent="0.35">
      <c r="A14" s="154">
        <v>10</v>
      </c>
      <c r="B14" s="161"/>
      <c r="C14" s="161"/>
      <c r="D14" s="162"/>
      <c r="E14" s="176"/>
      <c r="F14" s="163"/>
      <c r="G14" s="163"/>
      <c r="H14" s="162"/>
      <c r="I14" s="164"/>
      <c r="J14" s="159"/>
      <c r="K14" s="160"/>
      <c r="L14" s="160"/>
      <c r="M14" s="160"/>
      <c r="N14" s="249">
        <f t="shared" si="1"/>
        <v>0</v>
      </c>
      <c r="O14" s="251">
        <f t="shared" si="2"/>
        <v>0</v>
      </c>
      <c r="P14" s="251">
        <f t="shared" si="3"/>
        <v>0</v>
      </c>
      <c r="Q14" s="251">
        <f t="shared" si="4"/>
        <v>0</v>
      </c>
      <c r="R14" s="251">
        <f t="shared" si="5"/>
        <v>1</v>
      </c>
    </row>
    <row r="15" spans="1:18" ht="13.3" thickTop="1" thickBot="1" x14ac:dyDescent="0.35">
      <c r="A15" s="154">
        <v>11</v>
      </c>
      <c r="B15" s="161"/>
      <c r="C15" s="161"/>
      <c r="D15" s="162"/>
      <c r="E15" s="176"/>
      <c r="F15" s="163"/>
      <c r="G15" s="163"/>
      <c r="H15" s="162"/>
      <c r="I15" s="164"/>
      <c r="J15" s="159"/>
      <c r="K15" s="160"/>
      <c r="L15" s="160"/>
      <c r="M15" s="160"/>
      <c r="N15" s="249">
        <f t="shared" si="1"/>
        <v>0</v>
      </c>
      <c r="O15" s="251">
        <f t="shared" si="2"/>
        <v>0</v>
      </c>
      <c r="P15" s="251">
        <f t="shared" si="3"/>
        <v>0</v>
      </c>
      <c r="Q15" s="251">
        <f t="shared" si="4"/>
        <v>0</v>
      </c>
      <c r="R15" s="251">
        <f t="shared" si="5"/>
        <v>1</v>
      </c>
    </row>
    <row r="16" spans="1:18" ht="13.3" thickTop="1" thickBot="1" x14ac:dyDescent="0.35">
      <c r="A16" s="154">
        <v>12</v>
      </c>
      <c r="B16" s="161"/>
      <c r="C16" s="161"/>
      <c r="D16" s="162"/>
      <c r="E16" s="176"/>
      <c r="F16" s="163"/>
      <c r="G16" s="163"/>
      <c r="H16" s="162"/>
      <c r="I16" s="164"/>
      <c r="J16" s="159"/>
      <c r="K16" s="160"/>
      <c r="L16" s="160"/>
      <c r="M16" s="160"/>
      <c r="N16" s="249">
        <f t="shared" si="1"/>
        <v>0</v>
      </c>
      <c r="O16" s="251">
        <f t="shared" si="2"/>
        <v>0</v>
      </c>
      <c r="P16" s="251">
        <f t="shared" si="3"/>
        <v>0</v>
      </c>
      <c r="Q16" s="251">
        <f t="shared" si="4"/>
        <v>0</v>
      </c>
      <c r="R16" s="251">
        <f t="shared" si="5"/>
        <v>1</v>
      </c>
    </row>
    <row r="17" spans="1:18" ht="13.3" thickTop="1" thickBot="1" x14ac:dyDescent="0.35">
      <c r="A17" s="154">
        <v>13</v>
      </c>
      <c r="B17" s="161"/>
      <c r="C17" s="161"/>
      <c r="D17" s="162"/>
      <c r="E17" s="176"/>
      <c r="F17" s="163"/>
      <c r="G17" s="163"/>
      <c r="H17" s="162"/>
      <c r="I17" s="164"/>
      <c r="J17" s="159"/>
      <c r="K17" s="160"/>
      <c r="L17" s="160"/>
      <c r="M17" s="160"/>
      <c r="N17" s="249">
        <f t="shared" si="1"/>
        <v>0</v>
      </c>
      <c r="O17" s="251">
        <f t="shared" si="2"/>
        <v>0</v>
      </c>
      <c r="P17" s="251">
        <f t="shared" si="3"/>
        <v>0</v>
      </c>
      <c r="Q17" s="251">
        <f t="shared" si="4"/>
        <v>0</v>
      </c>
      <c r="R17" s="251">
        <f t="shared" si="5"/>
        <v>1</v>
      </c>
    </row>
    <row r="18" spans="1:18" ht="13.3" thickTop="1" thickBot="1" x14ac:dyDescent="0.35">
      <c r="A18" s="154">
        <v>14</v>
      </c>
      <c r="B18" s="161"/>
      <c r="C18" s="161"/>
      <c r="D18" s="162"/>
      <c r="E18" s="176"/>
      <c r="F18" s="163"/>
      <c r="G18" s="163"/>
      <c r="H18" s="162"/>
      <c r="I18" s="164"/>
      <c r="J18" s="159"/>
      <c r="K18" s="160"/>
      <c r="L18" s="160"/>
      <c r="M18" s="160"/>
      <c r="N18" s="249">
        <f t="shared" si="1"/>
        <v>0</v>
      </c>
      <c r="O18" s="251">
        <f t="shared" si="2"/>
        <v>0</v>
      </c>
      <c r="P18" s="251">
        <f t="shared" si="3"/>
        <v>0</v>
      </c>
      <c r="Q18" s="251">
        <f t="shared" si="4"/>
        <v>0</v>
      </c>
      <c r="R18" s="251">
        <f t="shared" si="5"/>
        <v>1</v>
      </c>
    </row>
    <row r="19" spans="1:18" ht="13.3" thickTop="1" thickBot="1" x14ac:dyDescent="0.35">
      <c r="A19" s="154">
        <v>15</v>
      </c>
      <c r="B19" s="161"/>
      <c r="C19" s="161"/>
      <c r="D19" s="162"/>
      <c r="E19" s="176"/>
      <c r="F19" s="163"/>
      <c r="G19" s="163"/>
      <c r="H19" s="162"/>
      <c r="I19" s="164"/>
      <c r="J19" s="159"/>
      <c r="K19" s="160"/>
      <c r="L19" s="160"/>
      <c r="M19" s="160"/>
      <c r="N19" s="249">
        <f t="shared" si="1"/>
        <v>0</v>
      </c>
      <c r="O19" s="251">
        <f t="shared" si="2"/>
        <v>0</v>
      </c>
      <c r="P19" s="251">
        <f t="shared" si="3"/>
        <v>0</v>
      </c>
      <c r="Q19" s="251">
        <f t="shared" si="4"/>
        <v>0</v>
      </c>
      <c r="R19" s="251">
        <f t="shared" si="5"/>
        <v>1</v>
      </c>
    </row>
    <row r="20" spans="1:18" ht="13.3" thickTop="1" thickBot="1" x14ac:dyDescent="0.35">
      <c r="A20" s="154">
        <v>16</v>
      </c>
      <c r="B20" s="161"/>
      <c r="C20" s="161"/>
      <c r="D20" s="162"/>
      <c r="E20" s="176"/>
      <c r="F20" s="163"/>
      <c r="G20" s="163"/>
      <c r="H20" s="162"/>
      <c r="I20" s="164"/>
      <c r="J20" s="159"/>
      <c r="K20" s="160"/>
      <c r="L20" s="160"/>
      <c r="M20" s="160"/>
      <c r="N20" s="249">
        <f t="shared" si="1"/>
        <v>0</v>
      </c>
      <c r="O20" s="251">
        <f t="shared" si="2"/>
        <v>0</v>
      </c>
      <c r="P20" s="251">
        <f t="shared" si="3"/>
        <v>0</v>
      </c>
      <c r="Q20" s="251">
        <f t="shared" si="4"/>
        <v>0</v>
      </c>
      <c r="R20" s="251">
        <f t="shared" si="5"/>
        <v>1</v>
      </c>
    </row>
    <row r="21" spans="1:18" ht="13.3" thickTop="1" thickBot="1" x14ac:dyDescent="0.35">
      <c r="A21" s="154">
        <v>17</v>
      </c>
      <c r="B21" s="161"/>
      <c r="C21" s="161"/>
      <c r="D21" s="162"/>
      <c r="E21" s="176"/>
      <c r="F21" s="163"/>
      <c r="G21" s="163"/>
      <c r="H21" s="162"/>
      <c r="I21" s="164"/>
      <c r="J21" s="159"/>
      <c r="K21" s="160"/>
      <c r="L21" s="160"/>
      <c r="M21" s="160"/>
      <c r="N21" s="249">
        <f t="shared" si="1"/>
        <v>0</v>
      </c>
      <c r="O21" s="251">
        <f t="shared" si="2"/>
        <v>0</v>
      </c>
      <c r="P21" s="251">
        <f t="shared" si="3"/>
        <v>0</v>
      </c>
      <c r="Q21" s="251">
        <f t="shared" si="4"/>
        <v>0</v>
      </c>
      <c r="R21" s="251">
        <f t="shared" si="5"/>
        <v>1</v>
      </c>
    </row>
    <row r="22" spans="1:18" ht="13.3" thickTop="1" thickBot="1" x14ac:dyDescent="0.35">
      <c r="A22" s="154">
        <v>18</v>
      </c>
      <c r="B22" s="161"/>
      <c r="C22" s="161"/>
      <c r="D22" s="162"/>
      <c r="E22" s="176"/>
      <c r="F22" s="163"/>
      <c r="G22" s="163"/>
      <c r="H22" s="162"/>
      <c r="I22" s="164"/>
      <c r="J22" s="159"/>
      <c r="K22" s="160"/>
      <c r="L22" s="160"/>
      <c r="M22" s="160"/>
      <c r="N22" s="249">
        <f t="shared" si="1"/>
        <v>0</v>
      </c>
      <c r="O22" s="251">
        <f t="shared" si="2"/>
        <v>0</v>
      </c>
      <c r="P22" s="251">
        <f t="shared" si="3"/>
        <v>0</v>
      </c>
      <c r="Q22" s="251">
        <f t="shared" si="4"/>
        <v>0</v>
      </c>
      <c r="R22" s="251">
        <f t="shared" si="5"/>
        <v>1</v>
      </c>
    </row>
    <row r="23" spans="1:18" ht="13.3" thickTop="1" thickBot="1" x14ac:dyDescent="0.35">
      <c r="A23" s="154">
        <v>19</v>
      </c>
      <c r="B23" s="155"/>
      <c r="C23" s="241"/>
      <c r="D23" s="156"/>
      <c r="E23" s="175"/>
      <c r="F23" s="157"/>
      <c r="G23" s="157"/>
      <c r="H23" s="156"/>
      <c r="I23" s="158"/>
      <c r="J23" s="159"/>
      <c r="K23" s="245"/>
      <c r="L23" s="245"/>
      <c r="M23" s="245"/>
      <c r="N23" s="249">
        <f t="shared" si="1"/>
        <v>0</v>
      </c>
      <c r="O23" s="251">
        <f t="shared" si="2"/>
        <v>0</v>
      </c>
      <c r="P23" s="251">
        <f t="shared" si="3"/>
        <v>0</v>
      </c>
      <c r="Q23" s="251">
        <f t="shared" si="4"/>
        <v>0</v>
      </c>
      <c r="R23" s="251">
        <f t="shared" si="5"/>
        <v>1</v>
      </c>
    </row>
    <row r="24" spans="1:18" ht="13.3" thickTop="1" thickBot="1" x14ac:dyDescent="0.35">
      <c r="A24" s="154">
        <v>20</v>
      </c>
      <c r="B24" s="161"/>
      <c r="C24" s="242"/>
      <c r="D24" s="162"/>
      <c r="E24" s="176"/>
      <c r="F24" s="163"/>
      <c r="G24" s="163"/>
      <c r="H24" s="162"/>
      <c r="I24" s="164"/>
      <c r="J24" s="159"/>
      <c r="K24" s="245"/>
      <c r="L24" s="245"/>
      <c r="M24" s="245"/>
      <c r="N24" s="249">
        <f t="shared" si="1"/>
        <v>0</v>
      </c>
      <c r="O24" s="251">
        <f t="shared" si="2"/>
        <v>0</v>
      </c>
      <c r="P24" s="251">
        <f t="shared" si="3"/>
        <v>0</v>
      </c>
      <c r="Q24" s="251">
        <f t="shared" si="4"/>
        <v>0</v>
      </c>
      <c r="R24" s="251">
        <f t="shared" si="5"/>
        <v>1</v>
      </c>
    </row>
    <row r="25" spans="1:18" ht="13.3" thickTop="1" thickBot="1" x14ac:dyDescent="0.35">
      <c r="A25" s="154">
        <v>21</v>
      </c>
      <c r="B25" s="161"/>
      <c r="C25" s="242"/>
      <c r="D25" s="162"/>
      <c r="E25" s="176"/>
      <c r="F25" s="163"/>
      <c r="G25" s="163"/>
      <c r="H25" s="162"/>
      <c r="I25" s="164"/>
      <c r="J25" s="159"/>
      <c r="K25" s="245"/>
      <c r="L25" s="245"/>
      <c r="M25" s="245"/>
      <c r="N25" s="249">
        <f t="shared" si="1"/>
        <v>0</v>
      </c>
      <c r="O25" s="251">
        <f t="shared" si="2"/>
        <v>0</v>
      </c>
      <c r="P25" s="251">
        <f t="shared" si="3"/>
        <v>0</v>
      </c>
      <c r="Q25" s="251">
        <f t="shared" si="4"/>
        <v>0</v>
      </c>
      <c r="R25" s="251">
        <f t="shared" si="5"/>
        <v>1</v>
      </c>
    </row>
    <row r="26" spans="1:18" ht="13.3" thickTop="1" thickBot="1" x14ac:dyDescent="0.35">
      <c r="A26" s="154">
        <v>22</v>
      </c>
      <c r="B26" s="161"/>
      <c r="C26" s="242"/>
      <c r="D26" s="162"/>
      <c r="E26" s="176"/>
      <c r="F26" s="163"/>
      <c r="G26" s="163"/>
      <c r="H26" s="162"/>
      <c r="I26" s="164"/>
      <c r="J26" s="159"/>
      <c r="K26" s="245"/>
      <c r="L26" s="245"/>
      <c r="M26" s="245"/>
      <c r="N26" s="249">
        <f t="shared" si="1"/>
        <v>0</v>
      </c>
      <c r="O26" s="251">
        <f t="shared" si="2"/>
        <v>0</v>
      </c>
      <c r="P26" s="251">
        <f t="shared" si="3"/>
        <v>0</v>
      </c>
      <c r="Q26" s="251">
        <f t="shared" si="4"/>
        <v>0</v>
      </c>
      <c r="R26" s="251">
        <f t="shared" si="5"/>
        <v>1</v>
      </c>
    </row>
    <row r="27" spans="1:18" ht="13.3" thickTop="1" thickBot="1" x14ac:dyDescent="0.35">
      <c r="A27" s="154">
        <v>23</v>
      </c>
      <c r="B27" s="161"/>
      <c r="C27" s="242"/>
      <c r="D27" s="162"/>
      <c r="E27" s="176"/>
      <c r="F27" s="163"/>
      <c r="G27" s="163"/>
      <c r="H27" s="162"/>
      <c r="I27" s="164"/>
      <c r="J27" s="159"/>
      <c r="K27" s="245"/>
      <c r="L27" s="245"/>
      <c r="M27" s="245"/>
      <c r="N27" s="249">
        <f t="shared" si="1"/>
        <v>0</v>
      </c>
      <c r="O27" s="251">
        <f t="shared" si="2"/>
        <v>0</v>
      </c>
      <c r="P27" s="251">
        <f t="shared" si="3"/>
        <v>0</v>
      </c>
      <c r="Q27" s="251">
        <f t="shared" si="4"/>
        <v>0</v>
      </c>
      <c r="R27" s="251">
        <f t="shared" si="5"/>
        <v>1</v>
      </c>
    </row>
    <row r="28" spans="1:18" ht="13.3" thickTop="1" thickBot="1" x14ac:dyDescent="0.35">
      <c r="A28" s="154">
        <v>24</v>
      </c>
      <c r="B28" s="161"/>
      <c r="C28" s="242"/>
      <c r="D28" s="162"/>
      <c r="E28" s="176"/>
      <c r="F28" s="163"/>
      <c r="G28" s="163"/>
      <c r="H28" s="162"/>
      <c r="I28" s="164"/>
      <c r="J28" s="159"/>
      <c r="K28" s="245"/>
      <c r="L28" s="245"/>
      <c r="M28" s="245"/>
      <c r="N28" s="249">
        <f t="shared" si="1"/>
        <v>0</v>
      </c>
      <c r="O28" s="251">
        <f t="shared" si="2"/>
        <v>0</v>
      </c>
      <c r="P28" s="251">
        <f t="shared" si="3"/>
        <v>0</v>
      </c>
      <c r="Q28" s="251">
        <f t="shared" si="4"/>
        <v>0</v>
      </c>
      <c r="R28" s="251">
        <f t="shared" si="5"/>
        <v>1</v>
      </c>
    </row>
    <row r="29" spans="1:18" ht="13.3" thickTop="1" thickBot="1" x14ac:dyDescent="0.35">
      <c r="A29" s="154">
        <v>25</v>
      </c>
      <c r="B29" s="161"/>
      <c r="C29" s="242"/>
      <c r="D29" s="162"/>
      <c r="E29" s="176"/>
      <c r="F29" s="163"/>
      <c r="G29" s="163"/>
      <c r="H29" s="162"/>
      <c r="I29" s="164"/>
      <c r="J29" s="159"/>
      <c r="K29" s="245"/>
      <c r="L29" s="245"/>
      <c r="M29" s="245"/>
      <c r="N29" s="249">
        <f t="shared" si="1"/>
        <v>0</v>
      </c>
      <c r="O29" s="251">
        <f t="shared" si="2"/>
        <v>0</v>
      </c>
      <c r="P29" s="251">
        <f t="shared" si="3"/>
        <v>0</v>
      </c>
      <c r="Q29" s="251">
        <f t="shared" si="4"/>
        <v>0</v>
      </c>
      <c r="R29" s="251">
        <f t="shared" si="5"/>
        <v>1</v>
      </c>
    </row>
    <row r="30" spans="1:18" ht="13.3" thickTop="1" thickBot="1" x14ac:dyDescent="0.35">
      <c r="A30" s="154">
        <v>26</v>
      </c>
      <c r="B30" s="161"/>
      <c r="C30" s="242"/>
      <c r="D30" s="162"/>
      <c r="E30" s="176"/>
      <c r="F30" s="163"/>
      <c r="G30" s="163"/>
      <c r="H30" s="162"/>
      <c r="I30" s="164"/>
      <c r="J30" s="159"/>
      <c r="K30" s="245"/>
      <c r="L30" s="245"/>
      <c r="M30" s="245"/>
      <c r="N30" s="249">
        <f t="shared" si="1"/>
        <v>0</v>
      </c>
      <c r="O30" s="251">
        <f t="shared" si="2"/>
        <v>0</v>
      </c>
      <c r="P30" s="251">
        <f t="shared" si="3"/>
        <v>0</v>
      </c>
      <c r="Q30" s="251">
        <f t="shared" si="4"/>
        <v>0</v>
      </c>
      <c r="R30" s="251">
        <f t="shared" si="5"/>
        <v>1</v>
      </c>
    </row>
    <row r="31" spans="1:18" ht="13.3" thickTop="1" thickBot="1" x14ac:dyDescent="0.35">
      <c r="A31" s="154">
        <v>27</v>
      </c>
      <c r="B31" s="161"/>
      <c r="C31" s="242"/>
      <c r="D31" s="162"/>
      <c r="E31" s="176"/>
      <c r="F31" s="163"/>
      <c r="G31" s="163"/>
      <c r="H31" s="162"/>
      <c r="I31" s="164"/>
      <c r="J31" s="159"/>
      <c r="K31" s="245"/>
      <c r="L31" s="245"/>
      <c r="M31" s="245"/>
      <c r="N31" s="249">
        <f t="shared" si="1"/>
        <v>0</v>
      </c>
      <c r="O31" s="251">
        <f t="shared" si="2"/>
        <v>0</v>
      </c>
      <c r="P31" s="251">
        <f t="shared" si="3"/>
        <v>0</v>
      </c>
      <c r="Q31" s="251">
        <f t="shared" si="4"/>
        <v>0</v>
      </c>
      <c r="R31" s="251">
        <f t="shared" si="5"/>
        <v>1</v>
      </c>
    </row>
    <row r="32" spans="1:18" ht="13.3" thickTop="1" thickBot="1" x14ac:dyDescent="0.35">
      <c r="A32" s="154">
        <v>28</v>
      </c>
      <c r="B32" s="161"/>
      <c r="C32" s="242"/>
      <c r="D32" s="162"/>
      <c r="E32" s="176"/>
      <c r="F32" s="163"/>
      <c r="G32" s="163"/>
      <c r="H32" s="162"/>
      <c r="I32" s="164"/>
      <c r="J32" s="159"/>
      <c r="K32" s="245"/>
      <c r="L32" s="245"/>
      <c r="M32" s="245"/>
      <c r="N32" s="249">
        <f t="shared" si="1"/>
        <v>0</v>
      </c>
      <c r="O32" s="251">
        <f t="shared" si="2"/>
        <v>0</v>
      </c>
      <c r="P32" s="251">
        <f t="shared" si="3"/>
        <v>0</v>
      </c>
      <c r="Q32" s="251">
        <f t="shared" si="4"/>
        <v>0</v>
      </c>
      <c r="R32" s="251">
        <f t="shared" si="5"/>
        <v>1</v>
      </c>
    </row>
    <row r="33" spans="1:18" ht="13.3" thickTop="1" thickBot="1" x14ac:dyDescent="0.35">
      <c r="A33" s="154">
        <v>29</v>
      </c>
      <c r="B33" s="161"/>
      <c r="C33" s="242"/>
      <c r="D33" s="162"/>
      <c r="E33" s="176"/>
      <c r="F33" s="163"/>
      <c r="G33" s="163"/>
      <c r="H33" s="162"/>
      <c r="I33" s="164"/>
      <c r="J33" s="159"/>
      <c r="K33" s="245"/>
      <c r="L33" s="245"/>
      <c r="M33" s="245"/>
      <c r="N33" s="249">
        <f t="shared" si="1"/>
        <v>0</v>
      </c>
      <c r="O33" s="251">
        <f t="shared" si="2"/>
        <v>0</v>
      </c>
      <c r="P33" s="251">
        <f t="shared" si="3"/>
        <v>0</v>
      </c>
      <c r="Q33" s="251">
        <f t="shared" si="4"/>
        <v>0</v>
      </c>
      <c r="R33" s="251">
        <f t="shared" si="5"/>
        <v>1</v>
      </c>
    </row>
    <row r="34" spans="1:18" ht="13.3" thickTop="1" thickBot="1" x14ac:dyDescent="0.35">
      <c r="A34" s="216">
        <v>30</v>
      </c>
      <c r="B34" s="161"/>
      <c r="C34" s="242"/>
      <c r="D34" s="162"/>
      <c r="E34" s="176"/>
      <c r="F34" s="163"/>
      <c r="G34" s="163"/>
      <c r="H34" s="162"/>
      <c r="I34" s="164"/>
      <c r="J34" s="159"/>
      <c r="K34" s="245"/>
      <c r="L34" s="245"/>
      <c r="M34" s="245"/>
      <c r="N34" s="249">
        <f t="shared" si="1"/>
        <v>0</v>
      </c>
      <c r="O34" s="252">
        <f t="shared" si="2"/>
        <v>0</v>
      </c>
      <c r="P34" s="252">
        <f t="shared" si="3"/>
        <v>0</v>
      </c>
      <c r="Q34" s="252">
        <f t="shared" si="4"/>
        <v>0</v>
      </c>
      <c r="R34" s="252">
        <f t="shared" si="5"/>
        <v>1</v>
      </c>
    </row>
    <row r="35" spans="1:18" ht="13.3" thickTop="1" thickBot="1" x14ac:dyDescent="0.35">
      <c r="A35" s="216">
        <v>31</v>
      </c>
      <c r="B35" s="161"/>
      <c r="C35" s="242"/>
      <c r="D35" s="162"/>
      <c r="E35" s="176"/>
      <c r="F35" s="163"/>
      <c r="G35" s="163"/>
      <c r="H35" s="162"/>
      <c r="I35" s="164"/>
      <c r="J35" s="159"/>
      <c r="K35" s="245"/>
      <c r="L35" s="245"/>
      <c r="M35" s="245"/>
      <c r="N35" s="249">
        <f t="shared" si="1"/>
        <v>0</v>
      </c>
      <c r="O35" s="252">
        <f t="shared" si="2"/>
        <v>0</v>
      </c>
      <c r="P35" s="252">
        <f t="shared" si="3"/>
        <v>0</v>
      </c>
      <c r="Q35" s="252">
        <f t="shared" si="4"/>
        <v>0</v>
      </c>
      <c r="R35" s="252">
        <f t="shared" si="5"/>
        <v>1</v>
      </c>
    </row>
    <row r="36" spans="1:18" ht="13.3" thickTop="1" thickBot="1" x14ac:dyDescent="0.35">
      <c r="A36" s="216">
        <v>32</v>
      </c>
      <c r="B36" s="161"/>
      <c r="C36" s="242"/>
      <c r="D36" s="162"/>
      <c r="E36" s="176"/>
      <c r="F36" s="163"/>
      <c r="G36" s="163"/>
      <c r="H36" s="162"/>
      <c r="I36" s="164"/>
      <c r="J36" s="159"/>
      <c r="K36" s="245"/>
      <c r="L36" s="245"/>
      <c r="M36" s="245"/>
      <c r="N36" s="249">
        <f t="shared" si="1"/>
        <v>0</v>
      </c>
      <c r="O36" s="252">
        <f t="shared" si="2"/>
        <v>0</v>
      </c>
      <c r="P36" s="252">
        <f t="shared" si="3"/>
        <v>0</v>
      </c>
      <c r="Q36" s="252">
        <f t="shared" si="4"/>
        <v>0</v>
      </c>
      <c r="R36" s="252">
        <f t="shared" si="5"/>
        <v>1</v>
      </c>
    </row>
    <row r="37" spans="1:18" ht="13.3" thickTop="1" thickBot="1" x14ac:dyDescent="0.35">
      <c r="A37" s="216">
        <v>33</v>
      </c>
      <c r="B37" s="161"/>
      <c r="C37" s="242"/>
      <c r="D37" s="162"/>
      <c r="E37" s="176"/>
      <c r="F37" s="163"/>
      <c r="G37" s="163"/>
      <c r="H37" s="162"/>
      <c r="I37" s="164"/>
      <c r="J37" s="159"/>
      <c r="K37" s="245"/>
      <c r="L37" s="245"/>
      <c r="M37" s="245"/>
      <c r="N37" s="249">
        <f t="shared" si="1"/>
        <v>0</v>
      </c>
      <c r="O37" s="252">
        <f t="shared" si="2"/>
        <v>0</v>
      </c>
      <c r="P37" s="252">
        <f t="shared" si="3"/>
        <v>0</v>
      </c>
      <c r="Q37" s="252">
        <f t="shared" si="4"/>
        <v>0</v>
      </c>
      <c r="R37" s="252">
        <f t="shared" si="5"/>
        <v>1</v>
      </c>
    </row>
    <row r="38" spans="1:18" ht="13.3" thickTop="1" thickBot="1" x14ac:dyDescent="0.35">
      <c r="A38" s="216">
        <v>34</v>
      </c>
      <c r="B38" s="161"/>
      <c r="C38" s="242"/>
      <c r="D38" s="162"/>
      <c r="E38" s="176"/>
      <c r="F38" s="163"/>
      <c r="G38" s="163"/>
      <c r="H38" s="162"/>
      <c r="I38" s="164"/>
      <c r="J38" s="159"/>
      <c r="K38" s="245"/>
      <c r="L38" s="245"/>
      <c r="M38" s="245"/>
      <c r="N38" s="249">
        <f t="shared" si="1"/>
        <v>0</v>
      </c>
      <c r="O38" s="252">
        <f t="shared" si="2"/>
        <v>0</v>
      </c>
      <c r="P38" s="252">
        <f t="shared" si="3"/>
        <v>0</v>
      </c>
      <c r="Q38" s="252">
        <f t="shared" si="4"/>
        <v>0</v>
      </c>
      <c r="R38" s="252">
        <f t="shared" si="5"/>
        <v>1</v>
      </c>
    </row>
    <row r="39" spans="1:18" ht="13.3" thickTop="1" thickBot="1" x14ac:dyDescent="0.35">
      <c r="A39" s="216">
        <v>35</v>
      </c>
      <c r="B39" s="161"/>
      <c r="C39" s="242"/>
      <c r="D39" s="162"/>
      <c r="E39" s="176"/>
      <c r="F39" s="163"/>
      <c r="G39" s="163"/>
      <c r="H39" s="162"/>
      <c r="I39" s="164"/>
      <c r="J39" s="159"/>
      <c r="K39" s="245"/>
      <c r="L39" s="245"/>
      <c r="M39" s="245"/>
      <c r="N39" s="249">
        <f t="shared" si="1"/>
        <v>0</v>
      </c>
      <c r="O39" s="252">
        <f t="shared" si="2"/>
        <v>0</v>
      </c>
      <c r="P39" s="252">
        <f t="shared" si="3"/>
        <v>0</v>
      </c>
      <c r="Q39" s="252">
        <f t="shared" si="4"/>
        <v>0</v>
      </c>
      <c r="R39" s="252">
        <f t="shared" si="5"/>
        <v>1</v>
      </c>
    </row>
    <row r="40" spans="1:18" ht="12.9" thickTop="1" x14ac:dyDescent="0.3"/>
  </sheetData>
  <sheetProtection algorithmName="SHA-512" hashValue="YqA00fojyP0NTmRfnCTaeUOmD7H+Tb0v/kxwAAFCar/3MGLVbwb3I6sL+zJCkkZQB2XixRvMLyJOFUiSG305Sw==" saltValue="9OlGQnzqkR+xiO6oEPZ+bQ==" spinCount="100000" sheet="1" objects="1" scenarios="1"/>
  <mergeCells count="3">
    <mergeCell ref="B3:J3"/>
    <mergeCell ref="K3:M3"/>
    <mergeCell ref="N3:R3"/>
  </mergeCells>
  <dataValidations count="420"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9" xr:uid="{00000000-0002-0000-0100-000007000000}">
      <formula1>0</formula1>
      <formula2>1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39" xr:uid="{B95E7CDC-FE13-4361-A66B-8A251CF49FBB}">
      <formula1>1</formula1>
      <formula2>4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9" xr:uid="{ACBE1949-C954-42FB-8F46-01EB879E4F8D}">
      <formula1>1</formula1>
      <formula2>25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9" xr:uid="{D9313093-53BE-4B4F-9E3C-2CC5564F7D6B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9" xr:uid="{B01E3057-84D3-47BE-BAA7-9CB67155B98B}">
      <formula1>0</formula1>
      <formula2>999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9" xr:uid="{F9B14DEF-7F6C-49FC-B27D-DBC2393A2E81}">
      <formula1>0</formula1>
      <formula2>1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9" xr:uid="{5DA26412-52B4-4A1D-876E-095A1142553A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9" xr:uid="{D96B6773-0FC1-4B92-B8DA-F2A5D5B14CAA}">
      <formula1>0</formula1>
      <formula2>99</formula2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9" xr:uid="{880B945A-CD54-400A-B078-79BFEE09F624}">
      <formula1>JaNein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9" xr:uid="{C8A14007-9310-40BB-B5CF-09D3F85E4177}">
      <formula1>ListSoSchu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9" xr:uid="{7EB78DEA-F071-42F7-A033-EE1A3B38CF32}">
      <formula1>ListSoControl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9" xr:uid="{13730034-C662-4854-8177-7A71FE8952C5}">
      <formula1>ListHorizont</formula1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5" xr:uid="{A2410F5D-9CF7-4840-A670-7BB08FC00FEE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6" xr:uid="{3FAC183F-0DB2-4FB2-A9A9-91B1A642CDFC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7" xr:uid="{FE53E573-6990-4534-B47F-0DB17A064042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8" xr:uid="{50DC3903-DB3B-4629-9AA4-15C37A541DD5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9" xr:uid="{E387A3FC-2FF0-4341-BD06-9873457878BB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10" xr:uid="{3C206B4A-950D-4232-BAF4-20FE6057D4FA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11" xr:uid="{1016C502-B148-4460-B0F2-05B72501473C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12" xr:uid="{71C3CA1B-6F38-41EC-81EE-17B19A66219C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13" xr:uid="{2C08FC5D-7DA4-49D2-BA43-F28D069671EF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14" xr:uid="{DBD4D3D2-AC1E-4E86-A1C3-EF4E3DADE0F3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15" xr:uid="{4AED0830-8249-41DB-89DC-2FE4BCCFA65B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16" xr:uid="{7A1D4EDE-A296-4D28-BB0C-ECEB83A79E7A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17" xr:uid="{594F626D-49C9-4526-8D12-5EBE03822D88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18" xr:uid="{2D3A3980-48FF-4FA9-A8CC-8594CD4DC4CC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19" xr:uid="{CF5296A0-647F-4E50-9C60-7527FFF4C3D5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20" xr:uid="{5CF8E93C-2880-46F9-B330-FBB21A197A94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21" xr:uid="{F0D4A955-0DC9-4963-A6FD-0F514B9B69B3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22" xr:uid="{B442E76D-5C10-47E8-A86B-AC3714634FE3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23" xr:uid="{E4884ADA-8F8F-4B28-9983-632CE044FC56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24" xr:uid="{FB9CE51E-4F95-43AB-953F-396DB1C0C4B5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25" xr:uid="{5EC95821-68E9-4025-8F77-0E32B06B117B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26" xr:uid="{C348BF60-2501-4F01-9DD0-5B69D36EF2F2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27" xr:uid="{4B2B7FC0-79B8-406D-9EEB-4E223CC0D43E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28" xr:uid="{F8C1B073-BA87-465C-9E78-8F891C4276AC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29" xr:uid="{CCD568F6-D847-4C16-8D7C-11A8F0A5BCD6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30" xr:uid="{AFE83E63-616A-4AB8-93D2-C7B6E1A9AFE4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31" xr:uid="{E4670819-6E35-4A05-90EF-F20AB7DAEE67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32" xr:uid="{27F17469-9A30-4460-9AD6-4FCE7AA0C34F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33" xr:uid="{60DAEF74-4CF4-41E4-9ED2-29BDE745FE2D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34" xr:uid="{6A882BEB-AE0F-4203-B877-649EBF1795A3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35" xr:uid="{FC3EBD83-FFD0-4A98-A984-F62CFA560CCD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36" xr:uid="{51F59C0E-66BA-4C00-A0DA-3A1E59A6582E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37" xr:uid="{BEF74E27-C693-4139-8EA7-D867893841B6}">
      <formula1>1</formula1>
      <formula2>4</formula2>
    </dataValidation>
    <dataValidation type="textLength" allowBlank="1" showInputMessage="1" showErrorMessage="1" errorTitle="Errore" error="È possibile inserire un massimo di 4 caratteri." promptTitle="Abbreviazione" prompt="Inserire una denominazione breve (max. 4 caratteri)." sqref="B38" xr:uid="{62CE3660-92FF-41A2-B330-C58600F306EF}">
      <formula1>1</formula1>
      <formula2>4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5" xr:uid="{00CBF4D8-0156-466B-9B47-CA230A89F967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6" xr:uid="{E9E20436-A531-41E1-86FF-75595842A96F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7" xr:uid="{3715C5E5-96DB-4935-BA46-BBF8098DCC56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8" xr:uid="{9257FEE4-BA2A-4884-BDE2-8FF26E9964FD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9" xr:uid="{3C7C0CEB-5A7C-4E10-AEAC-198A94682E7F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0" xr:uid="{2D230E38-7992-4719-8F07-EBFEDB59B1E1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1" xr:uid="{B8C62C90-971A-42A5-A9BB-7A9905154F2C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2" xr:uid="{A2EC9FAA-6664-43FF-9ED5-CC6F77FB28C3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3" xr:uid="{284F1EE8-4D47-4F3A-AEAA-BB9A9E02371B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4" xr:uid="{58B74D57-A496-4276-8C66-6C8AD2723A4E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5" xr:uid="{BFB24FC3-F5A4-4730-B5B5-1AFB8FD53450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6" xr:uid="{209DC318-8103-4344-AAAC-9AADDFA640F7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7" xr:uid="{94592AC7-0C89-4B1B-A492-ACF9E0BE352F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8" xr:uid="{6270EE41-A0A6-4828-B557-E327DFBAA115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19" xr:uid="{95637A52-BCC6-41C4-8048-182DF83F4729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0" xr:uid="{889AC5C7-C09F-490A-B8B1-02689C5CB066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1" xr:uid="{0EEE6AAB-5252-4407-A813-4FD05032CEF4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2" xr:uid="{D5B149DD-262D-4DB2-B22E-71A7952F7766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3" xr:uid="{1C9E9758-64C3-4C2B-811B-979488D9315A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4" xr:uid="{6089FE9B-3A6C-4954-8C45-E86CB12138B7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5" xr:uid="{08664126-ACEF-4EE7-BBAD-24D7359C7120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6" xr:uid="{806D9793-A5A2-4D37-96CF-7B448B9E36AE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7" xr:uid="{963A5C10-BA47-4E26-8D27-16F7E372803D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8" xr:uid="{A65F9F94-8C74-48E5-B133-5037EE22C6A9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29" xr:uid="{76DC6C9E-53DC-4C87-AEC9-56232ECB0811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0" xr:uid="{220BDA66-D09C-40B1-877E-6EACEB9B40BA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1" xr:uid="{ABC416CD-1A0F-4ECB-8472-5C29AEE05AD9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2" xr:uid="{3BDD65CA-AE1A-4EC4-989B-C1BA036C980E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3" xr:uid="{EA97D3E1-2180-4AD7-A1AF-281C1C77D34E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4" xr:uid="{C9F16A97-AA7C-45FB-8B4E-66E8ADB8EB3C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5" xr:uid="{70827FAC-46EF-435F-AB5D-BB21373295BF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6" xr:uid="{B2A246B6-F332-44CC-86D2-28B96842E956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7" xr:uid="{41DAC266-6658-4E64-AEFF-0445F3F5083E}">
      <formula1>1</formula1>
      <formula2>25</formula2>
    </dataValidation>
    <dataValidation type="textLength" allowBlank="1" showInputMessage="1" showErrorMessage="1" errorTitle="Errore" error="È possibile immettere al massimo 25 caratteri." promptTitle="Denominazione" prompt="Inserisci un nome per la finestra" sqref="C38" xr:uid="{D1ABC35F-65B8-454E-8886-8A6B01D806F1}">
      <formula1>1</formula1>
      <formula2>25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5" xr:uid="{DEB94054-AAB1-41FC-BA67-23A3B7A243B3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6" xr:uid="{4C3FF698-0B3C-4CC4-8836-4EE250CF8B87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7" xr:uid="{E23A3735-85CD-49A6-80C2-EFF81B62BB2A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8" xr:uid="{AFCBB57B-6F20-4D7C-99D1-CA2DC21ACB7D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9" xr:uid="{335256C0-5CF7-4A5B-9736-C0F5C3BBED4D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0" xr:uid="{E7E698B4-493A-4084-95C7-E84CA10BC683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1" xr:uid="{A7E98F91-7C45-4F0E-B89B-914AE3CB808B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2" xr:uid="{A2AACF8E-D404-4EFF-9CCE-2E1A2BDFA988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3" xr:uid="{CB8D8DE1-6B73-4BED-AB43-A91E801572C5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4" xr:uid="{82B878DD-5055-4D8A-9AF4-3AB5C2A4725E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5" xr:uid="{63A83500-5460-4084-A3EE-90EC57398994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6" xr:uid="{D009012E-059D-426E-AAF6-907E66AE6F3E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7" xr:uid="{EA1C699D-C409-4035-92A1-FAD5C345397F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8" xr:uid="{162A4ADF-2723-40F2-8F56-441365341CF9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19" xr:uid="{19F3FEFE-7914-4402-BC6A-3E41A1664186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0" xr:uid="{1A1BC2EA-B58E-480A-8FC8-0AE414691DF5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1" xr:uid="{D1C90752-E5BA-44A6-A66C-5A9BE15251B0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2" xr:uid="{0560A9E8-9C19-4E22-BFCA-4704BEEEBE23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3" xr:uid="{73D44ABB-1629-44D6-81ED-31A5D884B197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4" xr:uid="{D811A362-EEDB-4222-98A6-26D1442358C6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5" xr:uid="{C27395F4-BCFE-41A8-B2FB-7C5339E1C4E0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6" xr:uid="{67912F11-FB42-4443-8DB3-8FDCC6C1AB55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7" xr:uid="{6639A0E4-DA88-4935-A840-7126201B654B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8" xr:uid="{37950D9C-2EA4-49DF-875E-B27B633AF4ED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29" xr:uid="{0F2FE67F-7906-4B59-927A-BB7B3CA63B9B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0" xr:uid="{CA6F18BE-6B1A-47E1-B98E-8BD964488140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1" xr:uid="{D65D5450-0021-4086-82DD-9D2D2FCB0137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2" xr:uid="{BAADAA06-E440-469B-AC2F-A8CC54FA9E98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3" xr:uid="{DCAFD381-E17F-4870-BD80-DF44EC86EDEA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4" xr:uid="{A421888D-1039-43D0-9AF0-DA0A02A226ED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5" xr:uid="{FB314493-6A07-49D4-A952-78BD77B16635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6" xr:uid="{CE8E2A41-FE8D-4308-B983-42B68C74890B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7" xr:uid="{59525B7E-8229-48C8-9EDC-87E14F20529B}">
      <formula1>0</formula1>
      <formula2>999</formula2>
    </dataValidation>
    <dataValidation type="decimal" allowBlank="1" showInputMessage="1" showErrorMessage="1" errorTitle="Errore" error="È necessario immettere valori compresi tra 0 e 9999." promptTitle="Larghezza" prompt="Immettere la larghezza della finestra (misura in luce)." sqref="D38" xr:uid="{722B9FCD-6477-4727-9A45-F824BCD02CF0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5" xr:uid="{E7D6CB0F-169E-4ECF-BB1C-E4FAFCAAC26E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6" xr:uid="{FC2BEEBA-C1AC-4847-9554-F11938FF72C2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7" xr:uid="{A2AB880A-EFCF-429B-BA57-5F7638B2F7E5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8" xr:uid="{B26A52C4-C403-48B9-983E-35D0D542F43E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9" xr:uid="{063E70C2-94B5-4943-B8CC-4D2F08F8F609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0" xr:uid="{C43B8AAE-7C84-4DA6-BF52-5752183E2CC5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1" xr:uid="{70BF0280-69E3-4A6D-9376-240755A3BF25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2" xr:uid="{6FF272B4-9E7D-4AB8-AD59-0B4E2DE33E8E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3" xr:uid="{91F4FD2C-A6D1-4AC5-90C9-51F1AC2CB946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4" xr:uid="{2A2128CB-6B3C-4B09-A52D-4B8CA1276373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5" xr:uid="{D3CBDCBE-2375-4DC3-8152-F16803F388C3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6" xr:uid="{02421915-7AD6-415B-BBC6-530C72B5BB77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7" xr:uid="{311CD2FC-B38A-4F5E-BA44-31134ED76F19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8" xr:uid="{CBAD3AA8-A2D8-4CAE-880F-F536987808DC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19" xr:uid="{C4352BDC-3D82-4D90-80FC-D311D5C5DD8F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0" xr:uid="{B21D7844-FF5F-40D7-8DFE-1936846C6DF5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1" xr:uid="{F761FDE4-727F-46EE-939B-CC61838BD5D1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2" xr:uid="{60366C27-D615-417C-94F8-5331F1F2CD4E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3" xr:uid="{951F3206-8D4B-4C84-8680-95F72635C812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4" xr:uid="{070094EB-41D9-4BF2-B53B-728AC2B566E6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5" xr:uid="{C0E6B7C2-238F-4446-9A74-4B5BE1424212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6" xr:uid="{FCBB7920-2D66-4622-8175-F8F715D38E3A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7" xr:uid="{46BDA240-D254-45C3-B2D4-A950B39E8330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8" xr:uid="{E996A8E3-1E10-460F-84A1-3527ED6F2F65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29" xr:uid="{87504E63-8445-4BFC-9390-F8F253DF5D10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0" xr:uid="{6A62FEEF-3AFD-4DA1-B007-025AD936D370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1" xr:uid="{C523C21F-1A75-47AD-B1F6-ACEDAF701B93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2" xr:uid="{CEECF4CB-028D-4A65-A9C8-21BC85628031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3" xr:uid="{3D8A8BDF-1712-476C-A6A5-34D7222A3E7E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4" xr:uid="{D25329A6-C153-41BC-9130-C65D49EC0C3A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5" xr:uid="{238B3E83-55CF-4147-BB76-2C39C8EDFB9B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6" xr:uid="{063168CA-487C-487F-9D05-32EEB226F768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7" xr:uid="{CB8FDBF8-582D-408E-B8E7-939058C6FCB5}">
      <formula1>0</formula1>
      <formula2>999</formula2>
    </dataValidation>
    <dataValidation type="decimal" allowBlank="1" showInputMessage="1" showErrorMessage="1" errorTitle="Errore" error="È necessario immettere valori compresi tra 0 e 9999." promptTitle="Altezza" prompt="Immettere la altezza della finestra (misura in luce)." sqref="E38" xr:uid="{2E0E414D-6CFA-4788-99EA-7A1CE1616668}">
      <formula1>0</formula1>
      <formula2>999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5" xr:uid="{77DC5AF4-C1F2-4AF0-86F9-50E8B7E2C472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6" xr:uid="{8BEB1CB3-89CC-4EEE-BDDD-51FECDAC805A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7" xr:uid="{27179F3C-6E81-49D0-9AC7-FD95E77C3DF0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8" xr:uid="{2842023F-3584-4D6F-B4F8-A5891497CC69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9" xr:uid="{9D2F90AD-C787-4368-9A0B-F8ECABE91199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0" xr:uid="{EC9B66B7-9A38-4D5E-A3BD-87CDF44EB602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1" xr:uid="{B9A6630E-B378-40FF-8B1B-20B6C49610D7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2" xr:uid="{8629007E-9635-4922-A128-0035AF243138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3" xr:uid="{DFC7A1AC-1F95-419C-9767-F1615C7A2FD8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4" xr:uid="{D0D5699D-53B6-4D73-BBFF-EBF1A384C243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5" xr:uid="{91635E32-D88A-46AE-A369-F018F1505B45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6" xr:uid="{CE2FDCD3-967E-4E66-BA74-F85B4F89AAC2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7" xr:uid="{7C150B50-E587-4454-8E3D-1B810BB5EC58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8" xr:uid="{F881B530-F915-4595-A810-BD745BCA9C4C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19" xr:uid="{BF19DF64-ABBB-412C-B88E-0F7C8EDA6092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0" xr:uid="{B6324036-6C64-4B78-8FEC-EF18B228195D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1" xr:uid="{2EE675BC-40C4-43A2-BB50-1942A94B7AFC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2" xr:uid="{45878B73-623E-4BFF-A1B4-FA6342BCC294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3" xr:uid="{63C54C96-41E4-4692-886D-8C4FEF3B2FD0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4" xr:uid="{1B10868E-2B54-4463-878B-0EB59AAF6DE9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5" xr:uid="{E007F1A6-C7C0-4C11-BF90-D9380112DB5E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6" xr:uid="{C3DD92F0-248F-4F35-AD60-61EC7468E83F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7" xr:uid="{73749E2F-7F13-4329-A13E-7222802A599B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8" xr:uid="{ED09FBF2-5CEF-47B2-A2B7-195BC2242A67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29" xr:uid="{90BFD244-A7A5-44EA-9777-C8318E468377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0" xr:uid="{FC762B3F-EA32-4585-97BC-0F1DE820A095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1" xr:uid="{F48C513B-F5F1-4B33-A986-F773AF2E9426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2" xr:uid="{AA7300E4-9C60-4425-9CFB-DB3540568155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3" xr:uid="{D962FBA2-7934-490C-8EF1-D37EB476C46D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4" xr:uid="{0515CD50-668D-4EBB-AB42-7C4CC3B58649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5" xr:uid="{3ED66657-DA14-4C96-A4F2-A4E747437737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6" xr:uid="{D7149652-767C-4D21-8615-14865734510D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7" xr:uid="{59A34288-C527-4649-9901-28E5EDDB449D}">
      <formula1>0</formula1>
      <formula2>1</formula2>
    </dataValidation>
    <dataValidation type="decimal" allowBlank="1" showInputMessage="1" showErrorMessage="1" errorTitle="Errore" error="È necessario immettere valori compresi tra 0% e 100%." promptTitle="Porzione di vetro" prompt="Inserire la porzione di vetro rispetto al vano della finestra" sqref="F38" xr:uid="{1DBC8E5C-1DC2-43F8-BEF7-80062E57AC1D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5" xr:uid="{332E9042-4702-4A6B-871D-3F2C15249C84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6" xr:uid="{C8F28656-827B-4274-B631-AA092BEEFB6D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7" xr:uid="{119DD187-A0AC-4022-B86F-64C87778868E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8" xr:uid="{20B51B17-E5DA-41E1-BCCA-BA3FEF88867C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9" xr:uid="{2FA5B761-532C-4DEF-A802-5CCC9B585309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0" xr:uid="{1C84F2BC-0A45-4321-BE4F-C86C98580417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1" xr:uid="{C6155E50-D465-49E0-9305-B77C57DC77BC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2" xr:uid="{C147F873-5761-44B5-A4E2-2B0E40EB7840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3" xr:uid="{80C8D2CA-7C08-40EF-B31C-B1640ED6F58A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4" xr:uid="{2ACCC662-027C-493D-8807-9C63B5B5A9C0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5" xr:uid="{8308A9B4-E384-46C0-BA2E-5FCE83527DC3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6" xr:uid="{553FF925-C0A2-48D3-9BFD-B8E17A0EA030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7" xr:uid="{EC60A945-2F59-4829-B32A-5D14A355DC40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8" xr:uid="{70E40399-4273-440F-AFBE-8B6B00B9BCF5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19" xr:uid="{36F076AA-41AB-45C4-9BE0-8DC238E084B2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0" xr:uid="{FA1625F0-D349-45F5-AFEC-61E214BD1DA7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1" xr:uid="{D2CCA949-9DA3-42B4-8D0C-88C977BD22D9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2" xr:uid="{14A2304B-0D0C-4057-BAED-8AA704F824BE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3" xr:uid="{DA0CB83F-BE1E-4FCF-BF87-1ED13CBED942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4" xr:uid="{6505B90F-B4C9-4AED-B53C-99E3479B0D27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5" xr:uid="{897DF075-94F5-44DD-9002-888612D70182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6" xr:uid="{07126523-0F78-4EC6-8169-AE01C5B95CE5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7" xr:uid="{23DB6F5A-E78E-4E65-A417-843AFB8CDEBE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8" xr:uid="{BA814B5A-2AE5-4091-B9C1-186820AA8EF9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29" xr:uid="{F5EB78BE-9E03-422A-8708-33031A81E4BD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0" xr:uid="{F7DB18A7-36AC-4C4D-A81A-44D7FBA68002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1" xr:uid="{10439C97-4DFC-495B-8611-8E224C42F88F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2" xr:uid="{7906C7D5-39D4-428C-A781-DF4AA97C932C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3" xr:uid="{DA16B580-3B70-4D3C-A728-877E6B3889D9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4" xr:uid="{8A15123F-18D7-4E11-8C8B-41720A8AF74C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5" xr:uid="{969FE780-8F0B-4203-8C7F-0237BA0FFD0C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6" xr:uid="{516D507E-1218-4E83-8481-E8D2371C36DE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7" xr:uid="{79BB5232-1ED3-48F0-9568-D09224BDB6A6}">
      <formula1>0</formula1>
      <formula2>1</formula2>
    </dataValidation>
    <dataValidation type="decimal" allowBlank="1" showInputMessage="1" showErrorMessage="1" errorTitle="Errore" error="È necessario immettere valori compresi tra 0% e 100%." promptTitle="Coeff. luminosità" prompt="Immettere il coefficiente di luminosità del vetro. _x000d__x000a_Attenzione: nel caso di vetrate disposte davanti alla finestra (giardino d'inverno, doppie facciate, ecc.) moltiplicare per il coefficiente di luminosità della vetrata." sqref="G38" xr:uid="{776D2759-5529-4A5B-8433-39210A7417BF}">
      <formula1>0</formula1>
      <formula2>1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5" xr:uid="{13DA8052-61FA-44B0-AE99-525BAA99AC0A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6" xr:uid="{B1261712-3EDC-426A-8C97-6A1700ACFCA6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7" xr:uid="{2C64C7F7-9376-46D4-9F09-5B539C80353A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8" xr:uid="{D77469CE-9C18-4E99-9E23-46D2095A5058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9" xr:uid="{72FC39A6-24D2-4DAC-AAC4-E1EB87A93937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0" xr:uid="{E27C2767-AE9A-4555-814C-A39665887F2C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1" xr:uid="{B3545F36-63BE-4E7A-A15E-03D94A92A60F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2" xr:uid="{60724E3B-0952-4AB2-A820-A7249788BA06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3" xr:uid="{11B5C35C-FD3C-4B2A-8ADF-1A80132862AE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4" xr:uid="{596815CD-E7B9-4791-9777-BAFDF890DA47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5" xr:uid="{31BC1575-E0FB-4287-8BB3-7451FC89A41F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6" xr:uid="{705CB63A-0E7D-4D2F-812B-87B8353A8162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7" xr:uid="{568256FD-B296-4AAE-BB8C-6CBE19A821EF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8" xr:uid="{56E1D11A-1A8A-467C-BF48-FF45AB1A558D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19" xr:uid="{60B6FBEE-42A3-48F3-B599-EA6A050F2FDC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0" xr:uid="{0101E7F7-6247-4AF3-AE8D-3B80895AE1DF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1" xr:uid="{DFA85D4F-59F8-45BC-802E-2856C557DEF4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2" xr:uid="{C2F20BA3-9B87-411D-A56F-8E395ACA0418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3" xr:uid="{28052E27-2311-4DAC-80A6-99203FA0E319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4" xr:uid="{D5FE2370-7F12-406D-910F-BDC75B069241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5" xr:uid="{2522430E-61DA-4150-864C-E304E6080E98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6" xr:uid="{712F4706-1784-4800-AB4F-5149297A526E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7" xr:uid="{E063CCDC-6CDE-48B1-8A9A-0179DD8A4697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8" xr:uid="{DCC0E945-0122-4689-AF2B-6B063D51184A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29" xr:uid="{64EECF1F-DA39-4787-8308-4E363D9D4C0E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0" xr:uid="{F8BEA461-2F29-48BD-AF1F-BA4464AE0334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1" xr:uid="{D8BD4136-73A8-4159-8062-E97D6169DFF1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2" xr:uid="{97318AD8-1F23-4A57-96AB-47B28A4DC1D6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3" xr:uid="{F19E9B78-1EB1-459D-863E-1CED06A806AE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4" xr:uid="{01EEAF26-84BB-4A18-A842-023475960820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5" xr:uid="{232D9803-1682-434E-9E10-FD2E88BC788A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6" xr:uid="{3BFF0E40-902A-4C3B-8D2E-9F04F40ADC28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7" xr:uid="{D49A8571-23FB-4761-96F7-FA8477BB16FE}">
      <formula1>0</formula1>
      <formula2>99</formula2>
    </dataValidation>
    <dataValidation type="decimal" allowBlank="1" showInputMessage="1" showErrorMessage="1" errorTitle="Errore" error="È necessario immettere valori compresi tra 0 e 9999." promptTitle="Architrave" prompt="Inserire la distanza tra soffitto e vetrate." sqref="H38" xr:uid="{6417204B-9A23-4926-8E30-C63CD0C0491B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5" xr:uid="{5F49EE97-1802-4A8D-942D-EDED5A76AF55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6" xr:uid="{B64A27EB-D704-45BA-9276-596553E10DC7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7" xr:uid="{45276369-779B-4DE8-9DFC-FEB210BCBEE1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8" xr:uid="{1EED192D-8D8E-47DA-A6D6-BB858E4D93F6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9" xr:uid="{406A5F90-9551-48E7-9D7D-C897AF4F391F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0" xr:uid="{241657DD-DC54-42EC-932B-DA560E87A7B1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1" xr:uid="{868033D1-E20D-411A-B232-F95ACAC1807B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2" xr:uid="{D7707D2D-F693-4FEC-84A3-55903622AA74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3" xr:uid="{E792863B-AE11-4CDB-8D51-C4E53CBAEF27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4" xr:uid="{A74A82E2-2FE0-45C5-BE29-33E16930CF22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5" xr:uid="{66EEE050-D56E-4E0B-BBB9-1B675B71F51D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6" xr:uid="{067F16A7-76EC-4D86-BEE6-B9E535957257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7" xr:uid="{E8B3873E-E3D8-4507-B2C9-D7D8E5D2242B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8" xr:uid="{2A21322A-27CE-4A1C-BA11-872B2244BFAD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19" xr:uid="{15D357E1-BB4F-4368-A00D-44B4ED13F1F2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0" xr:uid="{9C2E40A4-10BC-4C71-907F-D89247DA5512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1" xr:uid="{B02816F3-A606-4EFF-8B0D-2BEEB67671B0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2" xr:uid="{EAF73A07-B785-452A-9378-2115C41CD549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3" xr:uid="{73012E46-0D83-46C9-990D-8699A39E4E1B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4" xr:uid="{D380FB19-54D0-4958-BA72-6DBFF3DDDEE0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5" xr:uid="{1216CE18-5A4C-4AF6-8D29-32B840720C0C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6" xr:uid="{0198D1BE-88B3-4386-B3EF-E44D909698FA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7" xr:uid="{53BC9D23-EF76-4088-A86E-6D3F0F23A723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8" xr:uid="{C199AA7A-AF7D-4500-BE48-C8F95B97938F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29" xr:uid="{DF3D0B39-F37D-48FA-92CE-0E0314E9E496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0" xr:uid="{D87DFACE-68BE-4A7E-8C81-A5378315F316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1" xr:uid="{AE449848-E504-4075-B33C-CE5884EA9B91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2" xr:uid="{2F4C0FCA-58CC-4050-909F-445980879F53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3" xr:uid="{3C011C16-EAE9-4B4B-9AB7-8CA9EB87624B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4" xr:uid="{F36CD30B-2E16-4520-8155-676ECB064E8A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5" xr:uid="{87DACD9F-8D63-4E75-A661-B8E495347BC7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6" xr:uid="{D44E43B2-2A30-4DCF-91D5-2E75594D7B72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7" xr:uid="{03057DF0-0D76-4597-A63C-3CDF98CADFA7}">
      <formula1>0</formula1>
      <formula2>99</formula2>
    </dataValidation>
    <dataValidation type="decimal" allowBlank="1" showInputMessage="1" showErrorMessage="1" errorTitle="Errore" error="È necessario immettere valori compresi tra 0 e 9999." promptTitle="Aggetto" prompt="Inserire la distanza orizzontale tra la finestra e il bordo anteriore della sporgenza." sqref="I38" xr:uid="{CEA02A91-2DF0-4E34-AD9E-5550367D4679}">
      <formula1>0</formula1>
      <formula2>99</formula2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5" xr:uid="{07D41F57-51F5-4F27-B336-65007546065D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6" xr:uid="{DF0D8EA9-1F5F-4ACE-8201-0C403B163A35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7" xr:uid="{660A1C41-3BE6-47F1-BF6C-7BC76B4DE284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8" xr:uid="{EB210C47-C30A-42BD-9DBB-73E49F35E7A1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9" xr:uid="{A656FCAE-1F19-4552-8EBE-4110A229674F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0" xr:uid="{283D6425-EB69-46D9-8D8D-6B1A1313D5CF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1" xr:uid="{9764BC2A-D2BC-4BAE-B9DA-F3640EEFC37A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2" xr:uid="{4F4F23D4-1DA1-4A51-84A3-554E2D61CBA7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3" xr:uid="{695D4353-6EE5-4938-8208-CE36DE23C282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4" xr:uid="{05A25F9B-3F7D-4290-BF74-D18FEE10C832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5" xr:uid="{C32A93AB-BCF8-45DD-88E0-310326024A60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6" xr:uid="{3B9986A6-C7E2-47FE-9C41-1A18DBA6BA74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7" xr:uid="{F814B8E8-5C82-4901-9969-5B92BF4BA8B8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8" xr:uid="{4E6CDF4C-6F1D-4CEE-B880-A31A15462A77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19" xr:uid="{2909C4E2-40B8-410D-A003-C52CAA23321B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0" xr:uid="{D578C1C1-EBDE-4318-AF93-F68B5C2534F8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1" xr:uid="{F8805565-2A65-45BB-AEA9-678E6AECFAC9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2" xr:uid="{E078BD0E-3DA8-45A0-91E0-2CB950E67053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3" xr:uid="{8025579C-71BC-448E-8410-4D77AA9F2599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4" xr:uid="{FDB216A6-9D64-48BF-9976-86422D60B546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5" xr:uid="{9E400FE1-C355-4A78-BDC3-53BB59BFAF5D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6" xr:uid="{8FC3C74A-03A7-4906-95E3-5173D35661B7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7" xr:uid="{78CF6D59-04E5-4A32-99B9-930E8AFDB227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8" xr:uid="{5EE32AB7-96F2-4229-A53B-96F285E82CEF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29" xr:uid="{519F1309-06F4-4E48-A2F3-7EBF1FBDEC12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0" xr:uid="{0AE3BD86-B9CB-4823-B9EF-0A0E0268AE40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1" xr:uid="{5A8FC665-025D-4803-9696-E940988D534F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2" xr:uid="{590215A7-525D-4DA0-97C5-D49CA2FD8D84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3" xr:uid="{B2FB8A5B-C2FB-4FA9-A3BA-94878B9BDA44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4" xr:uid="{6F5DD1C0-4E1C-468B-A0EB-048ED33C7872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5" xr:uid="{E033089D-C4CC-4DB2-BD5B-9E99FB52CD66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6" xr:uid="{9B59D493-A794-483D-AC25-054E36256242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7" xr:uid="{30DBC00D-D8A7-4F22-8399-6679F0FA4908}">
      <formula1>JaNein</formula1>
    </dataValidation>
    <dataValidation type="list" allowBlank="1" showInputMessage="1" showErrorMessage="1" errorTitle="Errore" error="È necessario selezionare una voce dall' elenco." promptTitle="Lucernari" prompt="Selezionare Sì se la finestra è posizionata nel tetto (angolo da 0° a 45° rispetto all' orizzontale)" sqref="J38" xr:uid="{0D90293E-B688-4F5B-ADA5-4B49A3D8E10E}">
      <formula1>JaNein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5" xr:uid="{7938ED05-3967-4A60-A1DB-A2DCDED47154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6" xr:uid="{CB5EE318-0BDC-4429-8FC7-0F5BA3A8B128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7" xr:uid="{31EB648C-A918-4F01-BDF1-6238882489DB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8" xr:uid="{AD853276-0BCF-4DA6-A1C5-354415291668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9" xr:uid="{F8392A12-FEA2-4EA4-9AB9-2182C5DC2F50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0" xr:uid="{7C44A516-FE59-466D-A0A3-8C4CDD567DA0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1" xr:uid="{5C7865E7-5125-4AC5-92B7-7651869A173B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2" xr:uid="{DB55134D-2F75-4D36-95F6-C08BE2A0B32F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3" xr:uid="{1906445F-8714-4E42-9B30-7BD49372C87E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4" xr:uid="{458B6069-85AC-41BF-96FF-480741A5EE4F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5" xr:uid="{C9355AED-A334-498C-982C-1FD8A8CB1449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6" xr:uid="{CD396579-DA5D-40A6-92DE-EC57DCE96D7A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7" xr:uid="{F9001B39-743D-46E4-9824-5D6D23746BD7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8" xr:uid="{B3995DFE-4944-4A4B-972A-AAE2876896CE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19" xr:uid="{6E546734-013C-4BBF-B36B-4E80595DCDA3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0" xr:uid="{FC0729B1-9A13-465D-8C96-3CF82B25241F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1" xr:uid="{E52EFD37-74AA-421C-8596-1721B48D720C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2" xr:uid="{178316AB-BC5C-4E14-80EC-F6B6D5FF12BB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3" xr:uid="{180E0196-27FA-433D-A86A-959A45E9FEDE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4" xr:uid="{8B0BC51F-228D-40A6-8AB2-05263133DC9E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5" xr:uid="{98E20E1A-E9F0-46A7-94C5-EC181274BC2C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6" xr:uid="{4748901C-C1C8-41E5-AD0F-31740F54E287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7" xr:uid="{A8BD2E52-768A-4477-92AE-2DC04088B03A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8" xr:uid="{DC9FA524-B50D-44BA-AF7F-01D2FC383691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29" xr:uid="{0A851265-60E4-4F57-9AA9-BE0CBD9BB1B3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0" xr:uid="{BFA35970-3C04-4A1F-834D-A6AD9BF03150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1" xr:uid="{C77128AC-7D09-4BD1-AB7D-2DE0BB15EBE2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2" xr:uid="{42A65655-4077-45BA-9D9D-CA71F05D4515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3" xr:uid="{A8F517C3-5EF8-47B8-A75D-3745B65AF64A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4" xr:uid="{D8A79D02-A257-4220-B826-E901F19B0A6E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5" xr:uid="{1120C129-BB72-4D81-A3D6-7171F1E01CDA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6" xr:uid="{4DDCCF5D-EF31-48D2-A31E-4DBA4E260401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7" xr:uid="{31552619-08C2-47CA-8DC4-814B28BE318E}">
      <formula1>ListSoSchu</formula1>
    </dataValidation>
    <dataValidation type="list" allowBlank="1" showInputMessage="1" showErrorMessage="1" errorTitle="Errore" error="È necessario selezionare una voce dall' elenco." promptTitle="Protezione solare tipo" prompt="Selezionare il tipo di protezione solare più appropriato dall' elenco." sqref="K38" xr:uid="{D41647D1-74B1-4B25-A2D0-A93E566E9E6A}">
      <formula1>ListSoSchu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5" xr:uid="{7D3396CD-44FF-4A5C-A8BF-6D3D0DD67E81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6" xr:uid="{F6E4CF79-9888-4E0D-8063-218AEFFCC483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7" xr:uid="{C9A6B221-807E-419B-922C-B0DFA0D2B539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8" xr:uid="{49210352-D00D-4E74-A9A4-3C0471536E42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9" xr:uid="{E467263E-38B2-436B-8117-B5FA273A2147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0" xr:uid="{0F03BFED-333D-4CA4-9E62-8FBD9504AF4D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1" xr:uid="{A2EF58DD-A3AE-4638-9892-1FD23F2D2DDC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2" xr:uid="{103BE206-48E1-4BC4-A416-9E87ED51FE33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3" xr:uid="{8D801FC4-288B-471B-9B4F-7E2D26C9EFE7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4" xr:uid="{C8BBC928-0F65-4551-A296-A619C88AB534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5" xr:uid="{CB145B16-8A5F-49FF-A674-8944333C81A3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6" xr:uid="{74A947AE-B384-44A9-B3DD-036CA273EA95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7" xr:uid="{8E6AB3E9-BD25-4834-9B09-ED4AFB32BAD3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8" xr:uid="{3B404C1C-DD57-4E77-86F4-BAA31B8D6F79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19" xr:uid="{43D89A1D-F364-493B-BA32-1FCAA6CAD186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0" xr:uid="{73008670-BA22-4F7C-961F-176EBD75F7FD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1" xr:uid="{BBF6AD0B-4394-48D4-9E8F-068DC866C921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2" xr:uid="{BFAB3C0A-B897-4C30-A775-A1E4FC889E68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3" xr:uid="{EF41788A-E452-4ABF-BB95-505C66C03E95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4" xr:uid="{B3F56164-1612-49FF-A4F0-B254374E28E9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5" xr:uid="{219EECAE-6098-4AA4-948E-578F9FE2EB6F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6" xr:uid="{26509565-D35F-4361-ADF8-E776612AC102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7" xr:uid="{1B9D2433-D683-4B68-A094-40952249DC9E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8" xr:uid="{0A30C00A-E038-4DCE-BA49-45BF4EB9D585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29" xr:uid="{5FE6F0D2-E4D8-411B-B9B3-3A45AAA4BF0F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0" xr:uid="{04F5DD5F-20D3-4F0A-9496-A941FF73B6C9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1" xr:uid="{0F8D5B20-8A0C-4428-8A3A-426B97CEF388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2" xr:uid="{BFD8A808-4F50-45FE-B3F3-5E31A2C5D388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3" xr:uid="{67A14061-234D-49F3-A1ED-E3205F367892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4" xr:uid="{57C7FBE1-BE61-4A2A-9DBC-1EFDE430F8B3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5" xr:uid="{A3E77069-1EF6-4AA4-A98D-7DC8427ED676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6" xr:uid="{06D49154-759A-4F94-AF48-61F00AAAE96A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7" xr:uid="{A69CE44B-36B6-40C4-AC65-8E36920B4D83}">
      <formula1>ListSoControl</formula1>
    </dataValidation>
    <dataValidation type="list" allowBlank="1" showInputMessage="1" showErrorMessage="1" errorTitle="Errore" error="È necessario selezionare una voce dall' elenco." promptTitle="Controllo" prompt="Selezionare il tipo di controllo più appropriato dall' elenco." sqref="L38" xr:uid="{46D896D7-DEAF-401A-BEF4-5F84FC38DB22}">
      <formula1>ListSoControl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5" xr:uid="{027B701A-87EA-4B33-A963-F02C10A0ECCA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6" xr:uid="{5F7A2777-EBE8-47CE-A6C1-010134867599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7" xr:uid="{E2B6D24A-0E33-4993-A9E3-EE80E9A7CAEC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8" xr:uid="{A82D186B-B418-40A9-8E80-3AD137521EA6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9" xr:uid="{30F693E4-8661-42E4-A88C-98E286E1401E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0" xr:uid="{301EB54F-231C-41BB-98CD-87AB5D810797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1" xr:uid="{A178406D-D7CE-4869-B5DE-56ECD2BCD893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2" xr:uid="{7CDD5D73-44E2-4CE6-90E3-59CBE2E4573A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3" xr:uid="{81AC1498-35DD-4767-AE92-0A97E4B30526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4" xr:uid="{CB7C38FF-419A-450A-B9D7-C444EDCA7D40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5" xr:uid="{BF48394A-3289-4111-ACDF-3417E3E9F523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6" xr:uid="{59C320D1-6E08-4C3D-98E6-1BA6251820B7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7" xr:uid="{69B08819-73AC-4760-8C9A-1FCF19DF46B2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8" xr:uid="{4A9BCE9B-B6BD-459D-A83E-9C06291621F1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19" xr:uid="{09542649-EB3E-4164-AD73-20974DDECC2F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0" xr:uid="{5B600241-5A99-4E70-B7BF-F894C7D9D455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1" xr:uid="{96214381-FA2B-4928-A4C8-E6FC15B6DE0A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2" xr:uid="{E7E9FDF7-903A-43D7-B4A9-4B21911D7B18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3" xr:uid="{6FF94145-1E2A-4E5D-85BF-35C9EF747344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4" xr:uid="{ED767FEE-95D9-45C9-AF49-773FCC49A66C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5" xr:uid="{658E8D9B-583B-4979-9B39-30D8A23FBFDF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6" xr:uid="{A91340A4-948F-40B3-BF2D-9F7872E66D6E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7" xr:uid="{D5E82A1E-3CC4-486B-A453-97F9976D4EDB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8" xr:uid="{3DE55A78-5158-465D-819D-2A6C224EF889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29" xr:uid="{B4D18804-0CCF-4AC0-B398-070CEFEA30E7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0" xr:uid="{2B5334BB-434E-477D-9329-50F452F2F66F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1" xr:uid="{48D4421E-D731-4A0E-938E-DB9493E85E6F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2" xr:uid="{CF2578A2-C594-4266-A468-C4D015E33766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3" xr:uid="{AB510F4F-9163-4422-9040-C8B5D18578EC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4" xr:uid="{0EE872D7-B606-4FD3-9CFC-63C800A6BDB0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5" xr:uid="{C5D1AF67-CE5E-4366-A8E9-F45E1ACB9A8E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6" xr:uid="{723CC9CA-ECC8-4C31-B047-E8BB59064422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7" xr:uid="{448117AD-210C-4F8C-B976-43C4F9C97D0A}">
      <formula1>ListHorizont</formula1>
    </dataValidation>
    <dataValidation type="list" allowBlank="1" showInputMessage="1" showErrorMessage="1" errorTitle="Errore" error="È necessario selezionare una voce dall' elenco." promptTitle="Ombreggiamento" prompt="Selezionare la situazione più appropriata della facciata in cui è collocata la finestra." sqref="M38" xr:uid="{EF50E4FB-3136-4E92-B017-36F6CA7CAFD9}">
      <formula1>ListHorizont</formula1>
    </dataValidation>
  </dataValidations>
  <printOptions horizontalCentered="1"/>
  <pageMargins left="0.59055118110236227" right="0.59055118110236227" top="0.43307086614173229" bottom="0" header="0.51181102362204722" footer="0.27559055118110237"/>
  <pageSetup paperSize="9" scale="63" orientation="landscape" r:id="rId1"/>
  <headerFooter alignWithMargins="0">
    <oddHeader>&amp;R&amp;G</oddHeader>
    <oddFooter>&amp;L&amp;10&amp;F&amp;R&amp;10&amp;P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tabColor rgb="FFFFFF99"/>
    <pageSetUpPr fitToPage="1"/>
  </sheetPr>
  <dimension ref="A1:AK42"/>
  <sheetViews>
    <sheetView showGridLines="0" zoomScaleNormal="100" workbookViewId="0">
      <selection activeCell="B5" sqref="B5"/>
    </sheetView>
  </sheetViews>
  <sheetFormatPr baseColWidth="10" defaultColWidth="8.875" defaultRowHeight="12.45" x14ac:dyDescent="0.3"/>
  <cols>
    <col min="1" max="1" width="2.75" style="29" bestFit="1" customWidth="1"/>
    <col min="2" max="3" width="25.5625" style="29" customWidth="1"/>
    <col min="4" max="7" width="5.75" style="29" customWidth="1"/>
    <col min="8" max="8" width="6" style="29" customWidth="1"/>
    <col min="9" max="9" width="7.25" style="29" customWidth="1"/>
    <col min="10" max="12" width="5.75" style="29" customWidth="1"/>
    <col min="13" max="17" width="6.75" style="29" customWidth="1"/>
    <col min="18" max="18" width="5.3125" style="29" customWidth="1"/>
    <col min="19" max="19" width="6.875" style="29" hidden="1" customWidth="1"/>
    <col min="20" max="20" width="9" style="29" hidden="1" customWidth="1"/>
    <col min="21" max="21" width="7.0625" style="29" hidden="1" customWidth="1"/>
    <col min="22" max="22" width="7.375" style="29" hidden="1" customWidth="1"/>
    <col min="23" max="23" width="6.375" style="29" hidden="1" customWidth="1"/>
    <col min="24" max="24" width="3.75" style="29" hidden="1" customWidth="1"/>
    <col min="25" max="25" width="4" style="29" hidden="1" customWidth="1"/>
    <col min="26" max="26" width="4.75" style="29" hidden="1" customWidth="1"/>
    <col min="27" max="27" width="5.6875" style="29" hidden="1" customWidth="1"/>
    <col min="28" max="28" width="6.25" style="29" hidden="1" customWidth="1"/>
    <col min="29" max="29" width="5.125" style="29" hidden="1" customWidth="1"/>
    <col min="30" max="30" width="4.125" style="29" hidden="1" customWidth="1"/>
    <col min="31" max="31" width="5.25" style="29" hidden="1" customWidth="1"/>
    <col min="32" max="32" width="6.4375" style="29" hidden="1" customWidth="1"/>
    <col min="33" max="33" width="8.0625" style="29" hidden="1" customWidth="1"/>
    <col min="34" max="35" width="10.0625" style="29" hidden="1" customWidth="1"/>
    <col min="36" max="36" width="7.875" style="29" hidden="1" customWidth="1"/>
    <col min="37" max="16384" width="8.875" style="29"/>
  </cols>
  <sheetData>
    <row r="1" spans="1:37" ht="28.5" customHeight="1" x14ac:dyDescent="0.3">
      <c r="A1" s="111" t="str">
        <f>IF(Projektbez="","",Projektbez&amp;" – ")&amp;Texte!$B$61</f>
        <v>Locali tipo e illuminazione naturale</v>
      </c>
      <c r="B1" s="112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9"/>
      <c r="N1" s="109"/>
      <c r="O1" s="109"/>
      <c r="P1" s="109"/>
      <c r="Q1" s="110"/>
      <c r="R1" s="110"/>
      <c r="S1" s="110"/>
      <c r="T1" s="110"/>
      <c r="U1" s="110"/>
      <c r="V1" s="110"/>
      <c r="W1" s="110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</row>
    <row r="2" spans="1:37" ht="9" customHeight="1" x14ac:dyDescent="0.3">
      <c r="D2" s="113"/>
      <c r="E2" s="113"/>
      <c r="F2" s="113"/>
      <c r="G2" s="113"/>
      <c r="H2" s="113"/>
      <c r="J2" s="113"/>
      <c r="K2" s="113"/>
    </row>
    <row r="3" spans="1:37" ht="18.75" customHeight="1" x14ac:dyDescent="0.3">
      <c r="A3" s="38"/>
      <c r="B3" s="187" t="str">
        <f>VLOOKUP(ADDRESS(ROW(),COLUMN(),4),MatrixTexteT3,2,FALSE)</f>
        <v>Locale Tipo</v>
      </c>
      <c r="C3" s="188"/>
      <c r="D3" s="285" t="str">
        <f>VLOOKUP(ADDRESS(ROW(),COLUMN(),4),MatrixTexteT3,2,FALSE)</f>
        <v>Dati dello locale</v>
      </c>
      <c r="E3" s="286"/>
      <c r="F3" s="286"/>
      <c r="G3" s="286"/>
      <c r="H3" s="286"/>
      <c r="I3" s="287"/>
      <c r="J3" s="285" t="str">
        <f>VLOOKUP(ADDRESS(ROW(),COLUMN(),4),MatrixTexteT3,2,FALSE)</f>
        <v>Finestre</v>
      </c>
      <c r="K3" s="286"/>
      <c r="L3" s="286"/>
      <c r="M3" s="286"/>
      <c r="N3" s="286"/>
      <c r="O3" s="286"/>
      <c r="P3" s="286"/>
      <c r="Q3" s="287"/>
      <c r="R3" s="174" t="str">
        <f>VLOOKUP(ADDRESS(ROW(),COLUMN(),4),MatrixTexteT3,2,FALSE)</f>
        <v>Ris.</v>
      </c>
      <c r="S3" s="285" t="s">
        <v>122</v>
      </c>
      <c r="T3" s="286"/>
      <c r="U3" s="286"/>
      <c r="V3" s="286"/>
      <c r="W3" s="287"/>
      <c r="X3" s="285" t="s">
        <v>35</v>
      </c>
      <c r="Y3" s="286"/>
      <c r="Z3" s="286"/>
      <c r="AA3" s="286"/>
      <c r="AB3" s="286"/>
      <c r="AC3" s="286"/>
      <c r="AD3" s="286"/>
      <c r="AE3" s="286"/>
      <c r="AF3" s="286"/>
      <c r="AG3" s="287"/>
      <c r="AH3" s="285" t="s">
        <v>121</v>
      </c>
      <c r="AI3" s="286"/>
      <c r="AJ3" s="287"/>
      <c r="AK3" s="102"/>
    </row>
    <row r="4" spans="1:37" s="30" customFormat="1" ht="46.5" customHeight="1" thickBot="1" x14ac:dyDescent="0.45">
      <c r="A4" s="87" t="s">
        <v>651</v>
      </c>
      <c r="B4" s="86" t="str">
        <f>VLOOKUP(ADDRESS(ROW(),COLUMN(),4),MatrixTexteT3,2,FALSE)</f>
        <v>Designazione locale
-</v>
      </c>
      <c r="C4" s="86" t="str">
        <f>VLOOKUP(ADDRESS(ROW(),COLUMN(),4),MatrixTexteT3,2,FALSE)</f>
        <v>Utilizzo
-</v>
      </c>
      <c r="D4" s="39" t="str">
        <f>VLOOKUP(ADDRESS(ROW(),COLUMN(),4),MatrixTexteT3,2,FALSE)</f>
        <v>Larghe-zza
m</v>
      </c>
      <c r="E4" s="39" t="str">
        <f>VLOOKUP(ADDRESS(ROW(),COLUMN(),4),MatrixTexteT3,2,FALSE)</f>
        <v>Profon-dità
m</v>
      </c>
      <c r="F4" s="39" t="str">
        <f>VLOOKUP(ADDRESS(ROW(),COLUMN(),4),MatrixTexteT3,2,FALSE)</f>
        <v>Alte-zza
m</v>
      </c>
      <c r="G4" s="39" t="str">
        <f>VLOOKUP(ADDRESS(ROW(),COLUMN(),4),MatrixTexteT3,2,FALSE)</f>
        <v>Superfi-cie
m2</v>
      </c>
      <c r="H4" s="39" t="str">
        <f>VLOOKUP(ADDRESS(ROW(),COLUMN(),4),MatrixTexteT3,2,FALSE)</f>
        <v>Quantità
n.</v>
      </c>
      <c r="I4" s="39" t="str">
        <f>VLOOKUP(ADDRESS(ROW(),COLUMN(),4),MatrixTexteT3,2,FALSE)</f>
        <v>Riflessi-one
-</v>
      </c>
      <c r="J4" s="39" t="str">
        <f>VLOOKUP(ADDRESS(ROW(),COLUMN(),4),MatrixTexteT3,2,FALSE)</f>
        <v>Tipo 1
-</v>
      </c>
      <c r="K4" s="39" t="str">
        <f t="shared" ref="K4:Q4" si="0">VLOOKUP(ADDRESS(ROW(),COLUMN(),4),MatrixTexteT3,2,FALSE)</f>
        <v>Qantità
n.</v>
      </c>
      <c r="L4" s="39" t="str">
        <f t="shared" si="0"/>
        <v>Tipo 2
-</v>
      </c>
      <c r="M4" s="39" t="str">
        <f t="shared" si="0"/>
        <v>Qantità
n.</v>
      </c>
      <c r="N4" s="39" t="str">
        <f t="shared" si="0"/>
        <v>Tipo 3
-</v>
      </c>
      <c r="O4" s="39" t="str">
        <f t="shared" si="0"/>
        <v>Qantità
n.</v>
      </c>
      <c r="P4" s="39" t="str">
        <f t="shared" si="0"/>
        <v>Tipo 4
-</v>
      </c>
      <c r="Q4" s="39" t="str">
        <f t="shared" si="0"/>
        <v>Qantità
n.</v>
      </c>
      <c r="R4" s="39" t="str">
        <f>VLOOKUP(ADDRESS(ROW(),COLUMN(),4),MatrixTexteT3,2,FALSE)</f>
        <v>Quota illum.
%</v>
      </c>
      <c r="S4" s="39" t="s">
        <v>147</v>
      </c>
      <c r="T4" s="39" t="s">
        <v>141</v>
      </c>
      <c r="U4" s="39" t="s">
        <v>124</v>
      </c>
      <c r="V4" s="39" t="s">
        <v>123</v>
      </c>
      <c r="W4" s="39" t="s">
        <v>789</v>
      </c>
      <c r="X4" s="39" t="s">
        <v>148</v>
      </c>
      <c r="Y4" s="39" t="s">
        <v>149</v>
      </c>
      <c r="Z4" s="39" t="s">
        <v>150</v>
      </c>
      <c r="AA4" s="39" t="s">
        <v>151</v>
      </c>
      <c r="AB4" s="39" t="s">
        <v>152</v>
      </c>
      <c r="AC4" s="39" t="s">
        <v>153</v>
      </c>
      <c r="AD4" s="39" t="s">
        <v>154</v>
      </c>
      <c r="AE4" s="39" t="s">
        <v>155</v>
      </c>
      <c r="AF4" s="39" t="s">
        <v>156</v>
      </c>
      <c r="AG4" s="39" t="s">
        <v>685</v>
      </c>
      <c r="AH4" s="39" t="s">
        <v>33</v>
      </c>
      <c r="AI4" s="39" t="s">
        <v>32</v>
      </c>
      <c r="AJ4" s="39" t="s">
        <v>34</v>
      </c>
      <c r="AK4" s="107"/>
    </row>
    <row r="5" spans="1:37" ht="13.3" thickTop="1" thickBot="1" x14ac:dyDescent="0.35">
      <c r="A5" s="40">
        <v>1</v>
      </c>
      <c r="B5" s="253"/>
      <c r="C5" s="254"/>
      <c r="D5" s="255"/>
      <c r="E5" s="255"/>
      <c r="F5" s="255"/>
      <c r="G5" s="255"/>
      <c r="H5" s="255"/>
      <c r="I5" s="256"/>
      <c r="J5" s="51"/>
      <c r="K5" s="56"/>
      <c r="L5" s="256"/>
      <c r="M5" s="56"/>
      <c r="N5" s="256"/>
      <c r="O5" s="56"/>
      <c r="P5" s="256"/>
      <c r="Q5" s="257"/>
      <c r="R5" s="177" t="str">
        <f>IF(AJ5&lt;&gt;0,AJ5,"")</f>
        <v/>
      </c>
      <c r="S5" s="47">
        <f>IF(OR(G5=0,G5=""),(D5*E5),G5)</f>
        <v>0</v>
      </c>
      <c r="T5" s="41">
        <f t="shared" ref="T5:T34" si="1">IF(J5="",0,VLOOKUP(J5,MatrixWindow,13,FALSE)*K5)+IF(L5="",0,VLOOKUP(L5,MatrixWindow,13,FALSE)*M5)+IF(N5="",0,VLOOKUP(N5,MatrixWindow,13,FALSE)*O5)+IF(P5="",0,VLOOKUP(P5,MatrixWindow,13,FALSE)*Q5)</f>
        <v>0</v>
      </c>
      <c r="U5" s="41">
        <f t="shared" ref="U5:U34" si="2">IF(T5=0,0,(IF(J5="",0,VLOOKUP(J5,MatrixWindow,6,FALSE)*VLOOKUP(J5,MatrixWindow,13,FALSE)*K5)+IF(L5="",0,VLOOKUP(L5,MatrixWindow,6,FALSE)*VLOOKUP(L5,MatrixWindow,13,FALSE)*M5)+IF(N5="",0,VLOOKUP(N5,MatrixWindow,6,FALSE)*VLOOKUP(N5,MatrixWindow,13,FALSE)*O5)+IF(P5="",0,VLOOKUP(P5,MatrixWindow,6,FALSE)*VLOOKUP(P5,MatrixWindow,13,FALSE)*Q5))/T5)</f>
        <v>0</v>
      </c>
      <c r="V5" s="41">
        <f t="shared" ref="V5:V34" si="3">IF(T5=0,0,(IF(J5="",0,VLOOKUP(J5,MatrixWindow,7,FALSE)*VLOOKUP(J5,MatrixWindow,13,FALSE)*K5)+IF(L5="",0,VLOOKUP(L5,MatrixWindow,7,FALSE)*VLOOKUP(L5,MatrixWindow,13,FALSE)*M5)+IF(N5="",0,VLOOKUP(N5,MatrixWindow,7,FALSE)*VLOOKUP(N5,MatrixWindow,13,FALSE)*O5)+IF(P5="",0,VLOOKUP(P5,MatrixWindow,7,FALSE)*VLOOKUP(P5,MatrixWindow,13,FALSE)*Q5))/T5)</f>
        <v>0</v>
      </c>
      <c r="W5" s="41">
        <f t="shared" ref="W5:W34" si="4">IF(J5="",0,VLOOKUP(J5,MatrixWindow,3,FALSE)*IF(VLOOKUP(J5,MatrixWindow,9,FALSE)=Ja,0,1)*K5)+IF(L5="",0,VLOOKUP(L5,MatrixWindow,3,FALSE)*IF(VLOOKUP(L5,MatrixWindow,9,FALSE)=Ja,0,1)*M5)+IF(N5="",0,VLOOKUP(N5,MatrixWindow,3,FALSE)*IF(VLOOKUP(N5,MatrixWindow,9,FALSE)=Ja,0,1)*O5)+IF(P5="",0,VLOOKUP(P5,MatrixWindow,3,FALSE)*IF(VLOOKUP(P5,MatrixWindow,9,FALSE)=Ja,0,1)*Q5)</f>
        <v>0</v>
      </c>
      <c r="X5" s="42">
        <f>IF(S5=0,0,T5/S5)</f>
        <v>0</v>
      </c>
      <c r="Y5" s="42">
        <f t="shared" ref="Y5:Y34" si="5">IF(C5="",0,MAX(0.175,0.35*(0.375+(VLOOKUP(C5,MatrixBeleuchtung,4,FALSE)/800))))</f>
        <v>0</v>
      </c>
      <c r="Z5" s="43">
        <f t="shared" ref="Z5:Z34" si="6">IF(I5="",0,VLOOKUP(I5,MatrixRaumReflex,2,FALSE))</f>
        <v>0</v>
      </c>
      <c r="AA5" s="44">
        <f>IF(T5=0,1,0.7/U5)</f>
        <v>1</v>
      </c>
      <c r="AB5" s="45">
        <f t="shared" ref="AB5:AB34" si="7">IF(T5=0,0,(IF(J5="",0,VLOOKUP(J5,MatrixWindow,14,FALSE)*VLOOKUP(J5,MatrixWindow,15,FALSE)*VLOOKUP(J5,MatrixWindow,13,FALSE)*K5)+IF(L5="",0,VLOOKUP(L5,MatrixWindow,14,FALSE)*VLOOKUP(L5,MatrixWindow,15,FALSE)*VLOOKUP(L5,MatrixWindow,13,FALSE)*M5)+IF(N5="",0,VLOOKUP(N5,MatrixWindow,14,FALSE)*VLOOKUP(N5,MatrixWindow,15,FALSE)*VLOOKUP(N5,MatrixWindow,13,FALSE)*O5)+IF(P5="",0,VLOOKUP(P5,MatrixWindow,14,FALSE)*VLOOKUP(P5,MatrixWindow,15,FALSE)*VLOOKUP(P5,MatrixWindow,13,FALSE)*Q5))/T5)</f>
        <v>0</v>
      </c>
      <c r="AC5" s="43">
        <f t="shared" ref="AC5:AC34" si="8">IF(T5=0,0,(IF(J5="",0,VLOOKUP(J5,MatrixWindow,16,FALSE)*VLOOKUP(J5,MatrixWindow,13,FALSE)*K5)+IF(L5="",0,VLOOKUP(L5,MatrixWindow,16,FALSE)*VLOOKUP(L5,MatrixWindow,13,FALSE)*M5)+IF(N5="",0,VLOOKUP(N5,MatrixWindow,16,FALSE)*VLOOKUP(N5,MatrixWindow,13,FALSE)*O5)+IF(P5="",0,VLOOKUP(P5,MatrixWindow,16,FALSE)*VLOOKUP(P5,MatrixWindow,13,FALSE)*Q5))/T5)</f>
        <v>0</v>
      </c>
      <c r="AD5" s="43">
        <f>ROUND(IF((F5-V5)&lt;2,1.8,0.8+(0.2/(F5-V5-1.8))),2)</f>
        <v>1.8</v>
      </c>
      <c r="AE5" s="43">
        <f t="shared" ref="AE5:AE34" si="9">IF(T5=0,0,(IF(J5="",0,VLOOKUP(J5,MatrixWindow,17,FALSE)*VLOOKUP(J5,MatrixWindow,13,FALSE)*K5)+IF(L5="",0,VLOOKUP(L5,MatrixWindow,17,FALSE)*VLOOKUP(L5,MatrixWindow,13,FALSE)*M5)+IF(N5="",0,VLOOKUP(N5,MatrixWindow,17,FALSE)*VLOOKUP(N5,MatrixWindow,13,FALSE)*O5)+IF(P5="",0,VLOOKUP(P5,MatrixWindow,17,FALSE)*VLOOKUP(P5,MatrixWindow,13,FALSE)*Q5))/T5)</f>
        <v>0</v>
      </c>
      <c r="AF5" s="46">
        <f>MIN(11,2*Z5*AA5*AB5*AC5*MAX(AD5,AE5))</f>
        <v>0</v>
      </c>
      <c r="AG5" s="46">
        <f>IF(Y5=0,0,IF(X5&gt;Y5,AF5,0.5*(11-AF5)*COS(PI()*X5/Y5)+0.5*(11+AF5)))</f>
        <v>0</v>
      </c>
      <c r="AH5" s="47">
        <f>IF(C5="",0,IF(C5=Constants!$B$105,8.2,9))</f>
        <v>0</v>
      </c>
      <c r="AI5" s="48">
        <f>MIN(11-AG5,AH5)</f>
        <v>0</v>
      </c>
      <c r="AJ5" s="49">
        <f t="shared" ref="AJ5:AJ34" si="10">IF(OR(AND(AH5=0,AI5=0),AH5=0),0,IF(Bauvorhaben=Neubau,AI5/AH5,IF((AI5/AH5)&gt;=Renovationsfaktor,((0.5*((AI5/AH5)-Renovationsfaktor))/(1-Renovationsfaktor)+0.5),(0.5*(AI5/AH5)/Renovationsfaktor))))</f>
        <v>0</v>
      </c>
      <c r="AK5" s="102"/>
    </row>
    <row r="6" spans="1:37" ht="13.3" thickTop="1" thickBot="1" x14ac:dyDescent="0.35">
      <c r="A6" s="40">
        <v>2</v>
      </c>
      <c r="B6" s="253"/>
      <c r="C6" s="254"/>
      <c r="D6" s="255"/>
      <c r="E6" s="255"/>
      <c r="F6" s="255"/>
      <c r="G6" s="255"/>
      <c r="H6" s="255"/>
      <c r="I6" s="256"/>
      <c r="J6" s="51"/>
      <c r="K6" s="56"/>
      <c r="L6" s="256"/>
      <c r="M6" s="56"/>
      <c r="N6" s="256"/>
      <c r="O6" s="56"/>
      <c r="P6" s="256"/>
      <c r="Q6" s="257"/>
      <c r="R6" s="177" t="str">
        <f t="shared" ref="R6:R34" si="11">IF(AJ6&lt;&gt;0,AJ6,"")</f>
        <v/>
      </c>
      <c r="S6" s="47">
        <f t="shared" ref="S6:S23" si="12">IF(OR(G6=0,G6=""),(D6*E6),G6)</f>
        <v>0</v>
      </c>
      <c r="T6" s="41">
        <f t="shared" si="1"/>
        <v>0</v>
      </c>
      <c r="U6" s="41">
        <f t="shared" si="2"/>
        <v>0</v>
      </c>
      <c r="V6" s="41">
        <f t="shared" si="3"/>
        <v>0</v>
      </c>
      <c r="W6" s="41">
        <f t="shared" si="4"/>
        <v>0</v>
      </c>
      <c r="X6" s="42">
        <f>IF(S6=0,0,T6/S6)</f>
        <v>0</v>
      </c>
      <c r="Y6" s="42">
        <f t="shared" si="5"/>
        <v>0</v>
      </c>
      <c r="Z6" s="43">
        <f t="shared" si="6"/>
        <v>0</v>
      </c>
      <c r="AA6" s="44">
        <f t="shared" ref="AA6:AA23" si="13">IF(T6=0,1,0.7/U6)</f>
        <v>1</v>
      </c>
      <c r="AB6" s="45">
        <f t="shared" si="7"/>
        <v>0</v>
      </c>
      <c r="AC6" s="43">
        <f t="shared" si="8"/>
        <v>0</v>
      </c>
      <c r="AD6" s="43">
        <f t="shared" ref="AD6:AD23" si="14">ROUND(IF((F6-V6)&lt;2,1.8,0.8+(0.2/(F6-V6-1.8))),2)</f>
        <v>1.8</v>
      </c>
      <c r="AE6" s="43">
        <f t="shared" si="9"/>
        <v>0</v>
      </c>
      <c r="AF6" s="46">
        <f t="shared" ref="AF6:AF23" si="15">MIN(11,2*Z6*AA6*AB6*AC6*MAX(AD6,AE6))</f>
        <v>0</v>
      </c>
      <c r="AG6" s="46">
        <f t="shared" ref="AG6:AG34" si="16">IF(Y6=0,0,IF(X6&gt;Y6,AF6,0.5*(11-AF6)*COS(PI()*X6/Y6)+0.5*(11+AF6)))</f>
        <v>0</v>
      </c>
      <c r="AH6" s="47">
        <f>IF(C6="",0,IF(C6=Constants!$B$105,8.2,9))</f>
        <v>0</v>
      </c>
      <c r="AI6" s="48">
        <f t="shared" ref="AI6:AI23" si="17">MIN(11-AG6,AH6)</f>
        <v>0</v>
      </c>
      <c r="AJ6" s="49">
        <f t="shared" si="10"/>
        <v>0</v>
      </c>
      <c r="AK6" s="102"/>
    </row>
    <row r="7" spans="1:37" ht="13.3" thickTop="1" thickBot="1" x14ac:dyDescent="0.35">
      <c r="A7" s="40">
        <v>3</v>
      </c>
      <c r="B7" s="253"/>
      <c r="C7" s="254"/>
      <c r="D7" s="255"/>
      <c r="E7" s="255"/>
      <c r="F7" s="255"/>
      <c r="G7" s="255"/>
      <c r="H7" s="255"/>
      <c r="I7" s="256"/>
      <c r="J7" s="51"/>
      <c r="K7" s="56"/>
      <c r="L7" s="256"/>
      <c r="M7" s="56"/>
      <c r="N7" s="256"/>
      <c r="O7" s="56"/>
      <c r="P7" s="256"/>
      <c r="Q7" s="257"/>
      <c r="R7" s="177" t="str">
        <f t="shared" si="11"/>
        <v/>
      </c>
      <c r="S7" s="47">
        <f t="shared" si="12"/>
        <v>0</v>
      </c>
      <c r="T7" s="41">
        <f t="shared" si="1"/>
        <v>0</v>
      </c>
      <c r="U7" s="41">
        <f t="shared" si="2"/>
        <v>0</v>
      </c>
      <c r="V7" s="41">
        <f t="shared" si="3"/>
        <v>0</v>
      </c>
      <c r="W7" s="41">
        <f t="shared" si="4"/>
        <v>0</v>
      </c>
      <c r="X7" s="42">
        <f t="shared" ref="X7:X23" si="18">IF(S7=0,0,T7/S7)</f>
        <v>0</v>
      </c>
      <c r="Y7" s="42">
        <f t="shared" si="5"/>
        <v>0</v>
      </c>
      <c r="Z7" s="43">
        <f t="shared" si="6"/>
        <v>0</v>
      </c>
      <c r="AA7" s="44">
        <f t="shared" si="13"/>
        <v>1</v>
      </c>
      <c r="AB7" s="45">
        <f t="shared" si="7"/>
        <v>0</v>
      </c>
      <c r="AC7" s="43">
        <f t="shared" si="8"/>
        <v>0</v>
      </c>
      <c r="AD7" s="43">
        <f t="shared" si="14"/>
        <v>1.8</v>
      </c>
      <c r="AE7" s="43">
        <f t="shared" si="9"/>
        <v>0</v>
      </c>
      <c r="AF7" s="46">
        <f t="shared" si="15"/>
        <v>0</v>
      </c>
      <c r="AG7" s="46">
        <f t="shared" si="16"/>
        <v>0</v>
      </c>
      <c r="AH7" s="47">
        <f>IF(C7="",0,IF(C7=Constants!$B$105,8.2,9))</f>
        <v>0</v>
      </c>
      <c r="AI7" s="48">
        <f t="shared" si="17"/>
        <v>0</v>
      </c>
      <c r="AJ7" s="49">
        <f t="shared" si="10"/>
        <v>0</v>
      </c>
      <c r="AK7" s="102"/>
    </row>
    <row r="8" spans="1:37" ht="13.3" thickTop="1" thickBot="1" x14ac:dyDescent="0.35">
      <c r="A8" s="40">
        <v>4</v>
      </c>
      <c r="B8" s="253"/>
      <c r="C8" s="254"/>
      <c r="D8" s="255"/>
      <c r="E8" s="255"/>
      <c r="F8" s="255"/>
      <c r="G8" s="255"/>
      <c r="H8" s="255"/>
      <c r="I8" s="256"/>
      <c r="J8" s="51"/>
      <c r="K8" s="56"/>
      <c r="L8" s="256"/>
      <c r="M8" s="56"/>
      <c r="N8" s="256"/>
      <c r="O8" s="56"/>
      <c r="P8" s="256"/>
      <c r="Q8" s="257"/>
      <c r="R8" s="177" t="str">
        <f t="shared" si="11"/>
        <v/>
      </c>
      <c r="S8" s="47">
        <f t="shared" si="12"/>
        <v>0</v>
      </c>
      <c r="T8" s="41">
        <f t="shared" si="1"/>
        <v>0</v>
      </c>
      <c r="U8" s="41">
        <f t="shared" si="2"/>
        <v>0</v>
      </c>
      <c r="V8" s="41">
        <f t="shared" si="3"/>
        <v>0</v>
      </c>
      <c r="W8" s="41">
        <f t="shared" si="4"/>
        <v>0</v>
      </c>
      <c r="X8" s="42">
        <f t="shared" si="18"/>
        <v>0</v>
      </c>
      <c r="Y8" s="42">
        <f t="shared" si="5"/>
        <v>0</v>
      </c>
      <c r="Z8" s="43">
        <f t="shared" si="6"/>
        <v>0</v>
      </c>
      <c r="AA8" s="44">
        <f t="shared" si="13"/>
        <v>1</v>
      </c>
      <c r="AB8" s="45">
        <f t="shared" si="7"/>
        <v>0</v>
      </c>
      <c r="AC8" s="43">
        <f t="shared" si="8"/>
        <v>0</v>
      </c>
      <c r="AD8" s="43">
        <f t="shared" si="14"/>
        <v>1.8</v>
      </c>
      <c r="AE8" s="43">
        <f t="shared" si="9"/>
        <v>0</v>
      </c>
      <c r="AF8" s="46">
        <f t="shared" si="15"/>
        <v>0</v>
      </c>
      <c r="AG8" s="46">
        <f t="shared" si="16"/>
        <v>0</v>
      </c>
      <c r="AH8" s="47">
        <f>IF(C8="",0,IF(C8=Constants!$B$105,8.2,9))</f>
        <v>0</v>
      </c>
      <c r="AI8" s="48">
        <f t="shared" si="17"/>
        <v>0</v>
      </c>
      <c r="AJ8" s="49">
        <f t="shared" si="10"/>
        <v>0</v>
      </c>
      <c r="AK8" s="102"/>
    </row>
    <row r="9" spans="1:37" ht="13.3" thickTop="1" thickBot="1" x14ac:dyDescent="0.35">
      <c r="A9" s="40">
        <v>5</v>
      </c>
      <c r="B9" s="253"/>
      <c r="C9" s="254"/>
      <c r="D9" s="255"/>
      <c r="E9" s="255"/>
      <c r="F9" s="255"/>
      <c r="G9" s="255"/>
      <c r="H9" s="255"/>
      <c r="I9" s="256"/>
      <c r="J9" s="51"/>
      <c r="K9" s="56"/>
      <c r="L9" s="256"/>
      <c r="M9" s="56"/>
      <c r="N9" s="256"/>
      <c r="O9" s="56"/>
      <c r="P9" s="256"/>
      <c r="Q9" s="257"/>
      <c r="R9" s="177" t="str">
        <f t="shared" si="11"/>
        <v/>
      </c>
      <c r="S9" s="47">
        <f t="shared" si="12"/>
        <v>0</v>
      </c>
      <c r="T9" s="41">
        <f t="shared" si="1"/>
        <v>0</v>
      </c>
      <c r="U9" s="41">
        <f t="shared" si="2"/>
        <v>0</v>
      </c>
      <c r="V9" s="41">
        <f t="shared" si="3"/>
        <v>0</v>
      </c>
      <c r="W9" s="41">
        <f t="shared" si="4"/>
        <v>0</v>
      </c>
      <c r="X9" s="42">
        <f t="shared" si="18"/>
        <v>0</v>
      </c>
      <c r="Y9" s="42">
        <f t="shared" si="5"/>
        <v>0</v>
      </c>
      <c r="Z9" s="43">
        <f t="shared" si="6"/>
        <v>0</v>
      </c>
      <c r="AA9" s="44">
        <f t="shared" si="13"/>
        <v>1</v>
      </c>
      <c r="AB9" s="45">
        <f t="shared" si="7"/>
        <v>0</v>
      </c>
      <c r="AC9" s="43">
        <f t="shared" si="8"/>
        <v>0</v>
      </c>
      <c r="AD9" s="43">
        <f t="shared" si="14"/>
        <v>1.8</v>
      </c>
      <c r="AE9" s="43">
        <f t="shared" si="9"/>
        <v>0</v>
      </c>
      <c r="AF9" s="46">
        <f t="shared" si="15"/>
        <v>0</v>
      </c>
      <c r="AG9" s="46">
        <f t="shared" si="16"/>
        <v>0</v>
      </c>
      <c r="AH9" s="47">
        <f>IF(C9="",0,IF(C9=Constants!$B$105,8.2,9))</f>
        <v>0</v>
      </c>
      <c r="AI9" s="48">
        <f t="shared" si="17"/>
        <v>0</v>
      </c>
      <c r="AJ9" s="49">
        <f t="shared" si="10"/>
        <v>0</v>
      </c>
      <c r="AK9" s="102"/>
    </row>
    <row r="10" spans="1:37" ht="13.3" thickTop="1" thickBot="1" x14ac:dyDescent="0.35">
      <c r="A10" s="40">
        <v>6</v>
      </c>
      <c r="B10" s="253"/>
      <c r="C10" s="254"/>
      <c r="D10" s="255"/>
      <c r="E10" s="255"/>
      <c r="F10" s="255"/>
      <c r="G10" s="255"/>
      <c r="H10" s="255"/>
      <c r="I10" s="256"/>
      <c r="J10" s="51"/>
      <c r="K10" s="56"/>
      <c r="L10" s="256"/>
      <c r="M10" s="56"/>
      <c r="N10" s="256"/>
      <c r="O10" s="56"/>
      <c r="P10" s="256"/>
      <c r="Q10" s="257"/>
      <c r="R10" s="177" t="str">
        <f t="shared" si="11"/>
        <v/>
      </c>
      <c r="S10" s="47">
        <f t="shared" si="12"/>
        <v>0</v>
      </c>
      <c r="T10" s="41">
        <f t="shared" si="1"/>
        <v>0</v>
      </c>
      <c r="U10" s="41">
        <f t="shared" si="2"/>
        <v>0</v>
      </c>
      <c r="V10" s="41">
        <f t="shared" si="3"/>
        <v>0</v>
      </c>
      <c r="W10" s="41">
        <f t="shared" si="4"/>
        <v>0</v>
      </c>
      <c r="X10" s="42">
        <f t="shared" si="18"/>
        <v>0</v>
      </c>
      <c r="Y10" s="42">
        <f t="shared" si="5"/>
        <v>0</v>
      </c>
      <c r="Z10" s="43">
        <f t="shared" si="6"/>
        <v>0</v>
      </c>
      <c r="AA10" s="44">
        <f t="shared" si="13"/>
        <v>1</v>
      </c>
      <c r="AB10" s="45">
        <f t="shared" si="7"/>
        <v>0</v>
      </c>
      <c r="AC10" s="43">
        <f t="shared" si="8"/>
        <v>0</v>
      </c>
      <c r="AD10" s="43">
        <f t="shared" si="14"/>
        <v>1.8</v>
      </c>
      <c r="AE10" s="43">
        <f t="shared" si="9"/>
        <v>0</v>
      </c>
      <c r="AF10" s="46">
        <f t="shared" si="15"/>
        <v>0</v>
      </c>
      <c r="AG10" s="46">
        <f t="shared" si="16"/>
        <v>0</v>
      </c>
      <c r="AH10" s="47">
        <f>IF(C10="",0,IF(C10=Constants!$B$105,8.2,9))</f>
        <v>0</v>
      </c>
      <c r="AI10" s="48">
        <f t="shared" si="17"/>
        <v>0</v>
      </c>
      <c r="AJ10" s="49">
        <f t="shared" si="10"/>
        <v>0</v>
      </c>
      <c r="AK10" s="102"/>
    </row>
    <row r="11" spans="1:37" ht="13.3" thickTop="1" thickBot="1" x14ac:dyDescent="0.35">
      <c r="A11" s="40">
        <v>7</v>
      </c>
      <c r="B11" s="253"/>
      <c r="C11" s="254"/>
      <c r="D11" s="255"/>
      <c r="E11" s="255"/>
      <c r="F11" s="255"/>
      <c r="G11" s="255"/>
      <c r="H11" s="255"/>
      <c r="I11" s="256"/>
      <c r="J11" s="51"/>
      <c r="K11" s="56"/>
      <c r="L11" s="256"/>
      <c r="M11" s="56"/>
      <c r="N11" s="256"/>
      <c r="O11" s="56"/>
      <c r="P11" s="256"/>
      <c r="Q11" s="257"/>
      <c r="R11" s="177" t="str">
        <f t="shared" si="11"/>
        <v/>
      </c>
      <c r="S11" s="47">
        <f t="shared" si="12"/>
        <v>0</v>
      </c>
      <c r="T11" s="41">
        <f t="shared" si="1"/>
        <v>0</v>
      </c>
      <c r="U11" s="41">
        <f t="shared" si="2"/>
        <v>0</v>
      </c>
      <c r="V11" s="41">
        <f t="shared" si="3"/>
        <v>0</v>
      </c>
      <c r="W11" s="41">
        <f t="shared" si="4"/>
        <v>0</v>
      </c>
      <c r="X11" s="42">
        <f t="shared" si="18"/>
        <v>0</v>
      </c>
      <c r="Y11" s="42">
        <f t="shared" si="5"/>
        <v>0</v>
      </c>
      <c r="Z11" s="43">
        <f t="shared" si="6"/>
        <v>0</v>
      </c>
      <c r="AA11" s="44">
        <f t="shared" si="13"/>
        <v>1</v>
      </c>
      <c r="AB11" s="45">
        <f t="shared" si="7"/>
        <v>0</v>
      </c>
      <c r="AC11" s="43">
        <f t="shared" si="8"/>
        <v>0</v>
      </c>
      <c r="AD11" s="43">
        <f t="shared" si="14"/>
        <v>1.8</v>
      </c>
      <c r="AE11" s="43">
        <f t="shared" si="9"/>
        <v>0</v>
      </c>
      <c r="AF11" s="46">
        <f t="shared" si="15"/>
        <v>0</v>
      </c>
      <c r="AG11" s="46">
        <f t="shared" si="16"/>
        <v>0</v>
      </c>
      <c r="AH11" s="47">
        <f>IF(C11="",0,IF(C11=Constants!$B$105,8.2,9))</f>
        <v>0</v>
      </c>
      <c r="AI11" s="48">
        <f t="shared" si="17"/>
        <v>0</v>
      </c>
      <c r="AJ11" s="49">
        <f t="shared" si="10"/>
        <v>0</v>
      </c>
      <c r="AK11" s="102"/>
    </row>
    <row r="12" spans="1:37" ht="13.3" thickTop="1" thickBot="1" x14ac:dyDescent="0.35">
      <c r="A12" s="40">
        <v>8</v>
      </c>
      <c r="B12" s="253"/>
      <c r="C12" s="254"/>
      <c r="D12" s="255"/>
      <c r="E12" s="255"/>
      <c r="F12" s="255"/>
      <c r="G12" s="255"/>
      <c r="H12" s="255"/>
      <c r="I12" s="256"/>
      <c r="J12" s="51"/>
      <c r="K12" s="56"/>
      <c r="L12" s="256"/>
      <c r="M12" s="56"/>
      <c r="N12" s="256"/>
      <c r="O12" s="56"/>
      <c r="P12" s="256"/>
      <c r="Q12" s="257"/>
      <c r="R12" s="177" t="str">
        <f t="shared" si="11"/>
        <v/>
      </c>
      <c r="S12" s="47">
        <f t="shared" si="12"/>
        <v>0</v>
      </c>
      <c r="T12" s="41">
        <f t="shared" si="1"/>
        <v>0</v>
      </c>
      <c r="U12" s="41">
        <f t="shared" si="2"/>
        <v>0</v>
      </c>
      <c r="V12" s="41">
        <f t="shared" si="3"/>
        <v>0</v>
      </c>
      <c r="W12" s="41">
        <f t="shared" si="4"/>
        <v>0</v>
      </c>
      <c r="X12" s="42">
        <f t="shared" si="18"/>
        <v>0</v>
      </c>
      <c r="Y12" s="42">
        <f t="shared" si="5"/>
        <v>0</v>
      </c>
      <c r="Z12" s="43">
        <f t="shared" si="6"/>
        <v>0</v>
      </c>
      <c r="AA12" s="44">
        <f t="shared" si="13"/>
        <v>1</v>
      </c>
      <c r="AB12" s="45">
        <f t="shared" si="7"/>
        <v>0</v>
      </c>
      <c r="AC12" s="43">
        <f t="shared" si="8"/>
        <v>0</v>
      </c>
      <c r="AD12" s="43">
        <f t="shared" si="14"/>
        <v>1.8</v>
      </c>
      <c r="AE12" s="43">
        <f t="shared" si="9"/>
        <v>0</v>
      </c>
      <c r="AF12" s="46">
        <f t="shared" si="15"/>
        <v>0</v>
      </c>
      <c r="AG12" s="46">
        <f t="shared" si="16"/>
        <v>0</v>
      </c>
      <c r="AH12" s="47">
        <f>IF(C12="",0,IF(C12=Constants!$B$105,8.2,9))</f>
        <v>0</v>
      </c>
      <c r="AI12" s="48">
        <f t="shared" si="17"/>
        <v>0</v>
      </c>
      <c r="AJ12" s="49">
        <f t="shared" si="10"/>
        <v>0</v>
      </c>
      <c r="AK12" s="102"/>
    </row>
    <row r="13" spans="1:37" ht="13.3" thickTop="1" thickBot="1" x14ac:dyDescent="0.35">
      <c r="A13" s="40">
        <v>9</v>
      </c>
      <c r="B13" s="253"/>
      <c r="C13" s="254"/>
      <c r="D13" s="255"/>
      <c r="E13" s="255"/>
      <c r="F13" s="255"/>
      <c r="G13" s="255"/>
      <c r="H13" s="255"/>
      <c r="I13" s="256"/>
      <c r="J13" s="51"/>
      <c r="K13" s="56"/>
      <c r="L13" s="256"/>
      <c r="M13" s="56"/>
      <c r="N13" s="256"/>
      <c r="O13" s="56"/>
      <c r="P13" s="256"/>
      <c r="Q13" s="257"/>
      <c r="R13" s="177" t="str">
        <f t="shared" si="11"/>
        <v/>
      </c>
      <c r="S13" s="47">
        <f t="shared" si="12"/>
        <v>0</v>
      </c>
      <c r="T13" s="41">
        <f t="shared" si="1"/>
        <v>0</v>
      </c>
      <c r="U13" s="41">
        <f t="shared" si="2"/>
        <v>0</v>
      </c>
      <c r="V13" s="41">
        <f t="shared" si="3"/>
        <v>0</v>
      </c>
      <c r="W13" s="41">
        <f t="shared" si="4"/>
        <v>0</v>
      </c>
      <c r="X13" s="42">
        <f t="shared" si="18"/>
        <v>0</v>
      </c>
      <c r="Y13" s="42">
        <f t="shared" si="5"/>
        <v>0</v>
      </c>
      <c r="Z13" s="43">
        <f t="shared" si="6"/>
        <v>0</v>
      </c>
      <c r="AA13" s="44">
        <f t="shared" si="13"/>
        <v>1</v>
      </c>
      <c r="AB13" s="45">
        <f t="shared" si="7"/>
        <v>0</v>
      </c>
      <c r="AC13" s="43">
        <f t="shared" si="8"/>
        <v>0</v>
      </c>
      <c r="AD13" s="43">
        <f t="shared" si="14"/>
        <v>1.8</v>
      </c>
      <c r="AE13" s="43">
        <f t="shared" si="9"/>
        <v>0</v>
      </c>
      <c r="AF13" s="46">
        <f t="shared" si="15"/>
        <v>0</v>
      </c>
      <c r="AG13" s="46">
        <f t="shared" si="16"/>
        <v>0</v>
      </c>
      <c r="AH13" s="47">
        <f>IF(C13="",0,IF(C13=Constants!$B$105,8.2,9))</f>
        <v>0</v>
      </c>
      <c r="AI13" s="48">
        <f t="shared" si="17"/>
        <v>0</v>
      </c>
      <c r="AJ13" s="49">
        <f t="shared" si="10"/>
        <v>0</v>
      </c>
      <c r="AK13" s="102"/>
    </row>
    <row r="14" spans="1:37" ht="13.3" thickTop="1" thickBot="1" x14ac:dyDescent="0.35">
      <c r="A14" s="40">
        <v>10</v>
      </c>
      <c r="B14" s="253"/>
      <c r="C14" s="254"/>
      <c r="D14" s="255"/>
      <c r="E14" s="255"/>
      <c r="F14" s="255"/>
      <c r="G14" s="255"/>
      <c r="H14" s="255"/>
      <c r="I14" s="256"/>
      <c r="J14" s="51"/>
      <c r="K14" s="56"/>
      <c r="L14" s="256"/>
      <c r="M14" s="56"/>
      <c r="N14" s="256"/>
      <c r="O14" s="56"/>
      <c r="P14" s="256"/>
      <c r="Q14" s="257"/>
      <c r="R14" s="177" t="str">
        <f t="shared" si="11"/>
        <v/>
      </c>
      <c r="S14" s="47">
        <f t="shared" si="12"/>
        <v>0</v>
      </c>
      <c r="T14" s="41">
        <f t="shared" si="1"/>
        <v>0</v>
      </c>
      <c r="U14" s="41">
        <f t="shared" si="2"/>
        <v>0</v>
      </c>
      <c r="V14" s="41">
        <f t="shared" si="3"/>
        <v>0</v>
      </c>
      <c r="W14" s="41">
        <f t="shared" si="4"/>
        <v>0</v>
      </c>
      <c r="X14" s="42">
        <f t="shared" si="18"/>
        <v>0</v>
      </c>
      <c r="Y14" s="42">
        <f t="shared" si="5"/>
        <v>0</v>
      </c>
      <c r="Z14" s="43">
        <f t="shared" si="6"/>
        <v>0</v>
      </c>
      <c r="AA14" s="44">
        <f t="shared" si="13"/>
        <v>1</v>
      </c>
      <c r="AB14" s="45">
        <f t="shared" si="7"/>
        <v>0</v>
      </c>
      <c r="AC14" s="43">
        <f t="shared" si="8"/>
        <v>0</v>
      </c>
      <c r="AD14" s="43">
        <f t="shared" si="14"/>
        <v>1.8</v>
      </c>
      <c r="AE14" s="43">
        <f t="shared" si="9"/>
        <v>0</v>
      </c>
      <c r="AF14" s="46">
        <f t="shared" si="15"/>
        <v>0</v>
      </c>
      <c r="AG14" s="46">
        <f t="shared" si="16"/>
        <v>0</v>
      </c>
      <c r="AH14" s="47">
        <f>IF(C14="",0,IF(C14=Constants!$B$105,8.2,9))</f>
        <v>0</v>
      </c>
      <c r="AI14" s="48">
        <f t="shared" si="17"/>
        <v>0</v>
      </c>
      <c r="AJ14" s="49">
        <f t="shared" si="10"/>
        <v>0</v>
      </c>
      <c r="AK14" s="102"/>
    </row>
    <row r="15" spans="1:37" ht="13.3" thickTop="1" thickBot="1" x14ac:dyDescent="0.35">
      <c r="A15" s="40">
        <v>11</v>
      </c>
      <c r="B15" s="253"/>
      <c r="C15" s="254"/>
      <c r="D15" s="255"/>
      <c r="E15" s="255"/>
      <c r="F15" s="255"/>
      <c r="G15" s="255"/>
      <c r="H15" s="255"/>
      <c r="I15" s="256"/>
      <c r="J15" s="51"/>
      <c r="K15" s="56"/>
      <c r="L15" s="256"/>
      <c r="M15" s="56"/>
      <c r="N15" s="256"/>
      <c r="O15" s="56"/>
      <c r="P15" s="256"/>
      <c r="Q15" s="257"/>
      <c r="R15" s="177" t="str">
        <f t="shared" si="11"/>
        <v/>
      </c>
      <c r="S15" s="47">
        <f t="shared" si="12"/>
        <v>0</v>
      </c>
      <c r="T15" s="41">
        <f t="shared" si="1"/>
        <v>0</v>
      </c>
      <c r="U15" s="41">
        <f t="shared" si="2"/>
        <v>0</v>
      </c>
      <c r="V15" s="41">
        <f t="shared" si="3"/>
        <v>0</v>
      </c>
      <c r="W15" s="41">
        <f t="shared" si="4"/>
        <v>0</v>
      </c>
      <c r="X15" s="42">
        <f t="shared" si="18"/>
        <v>0</v>
      </c>
      <c r="Y15" s="42">
        <f t="shared" si="5"/>
        <v>0</v>
      </c>
      <c r="Z15" s="43">
        <f t="shared" si="6"/>
        <v>0</v>
      </c>
      <c r="AA15" s="44">
        <f t="shared" si="13"/>
        <v>1</v>
      </c>
      <c r="AB15" s="45">
        <f t="shared" si="7"/>
        <v>0</v>
      </c>
      <c r="AC15" s="43">
        <f t="shared" si="8"/>
        <v>0</v>
      </c>
      <c r="AD15" s="43">
        <f t="shared" si="14"/>
        <v>1.8</v>
      </c>
      <c r="AE15" s="43">
        <f t="shared" si="9"/>
        <v>0</v>
      </c>
      <c r="AF15" s="46">
        <f t="shared" si="15"/>
        <v>0</v>
      </c>
      <c r="AG15" s="46">
        <f t="shared" si="16"/>
        <v>0</v>
      </c>
      <c r="AH15" s="47">
        <f>IF(C15="",0,IF(C15=Constants!$B$105,8.2,9))</f>
        <v>0</v>
      </c>
      <c r="AI15" s="48">
        <f t="shared" si="17"/>
        <v>0</v>
      </c>
      <c r="AJ15" s="49">
        <f t="shared" si="10"/>
        <v>0</v>
      </c>
      <c r="AK15" s="102"/>
    </row>
    <row r="16" spans="1:37" ht="13.3" thickTop="1" thickBot="1" x14ac:dyDescent="0.35">
      <c r="A16" s="40">
        <v>12</v>
      </c>
      <c r="B16" s="253"/>
      <c r="C16" s="254"/>
      <c r="D16" s="255"/>
      <c r="E16" s="255"/>
      <c r="F16" s="255"/>
      <c r="G16" s="255"/>
      <c r="H16" s="255"/>
      <c r="I16" s="256"/>
      <c r="J16" s="51"/>
      <c r="K16" s="56"/>
      <c r="L16" s="256"/>
      <c r="M16" s="56"/>
      <c r="N16" s="256"/>
      <c r="O16" s="56"/>
      <c r="P16" s="256"/>
      <c r="Q16" s="257"/>
      <c r="R16" s="177" t="str">
        <f t="shared" si="11"/>
        <v/>
      </c>
      <c r="S16" s="47">
        <f t="shared" si="12"/>
        <v>0</v>
      </c>
      <c r="T16" s="41">
        <f t="shared" si="1"/>
        <v>0</v>
      </c>
      <c r="U16" s="41">
        <f t="shared" si="2"/>
        <v>0</v>
      </c>
      <c r="V16" s="41">
        <f t="shared" si="3"/>
        <v>0</v>
      </c>
      <c r="W16" s="41">
        <f t="shared" si="4"/>
        <v>0</v>
      </c>
      <c r="X16" s="42">
        <f t="shared" si="18"/>
        <v>0</v>
      </c>
      <c r="Y16" s="42">
        <f t="shared" si="5"/>
        <v>0</v>
      </c>
      <c r="Z16" s="43">
        <f t="shared" si="6"/>
        <v>0</v>
      </c>
      <c r="AA16" s="44">
        <f t="shared" si="13"/>
        <v>1</v>
      </c>
      <c r="AB16" s="45">
        <f t="shared" si="7"/>
        <v>0</v>
      </c>
      <c r="AC16" s="43">
        <f t="shared" si="8"/>
        <v>0</v>
      </c>
      <c r="AD16" s="43">
        <f t="shared" si="14"/>
        <v>1.8</v>
      </c>
      <c r="AE16" s="43">
        <f t="shared" si="9"/>
        <v>0</v>
      </c>
      <c r="AF16" s="46">
        <f t="shared" si="15"/>
        <v>0</v>
      </c>
      <c r="AG16" s="46">
        <f t="shared" si="16"/>
        <v>0</v>
      </c>
      <c r="AH16" s="47">
        <f>IF(C16="",0,IF(C16=Constants!$B$105,8.2,9))</f>
        <v>0</v>
      </c>
      <c r="AI16" s="48">
        <f t="shared" si="17"/>
        <v>0</v>
      </c>
      <c r="AJ16" s="49">
        <f t="shared" si="10"/>
        <v>0</v>
      </c>
      <c r="AK16" s="102"/>
    </row>
    <row r="17" spans="1:37" ht="13.3" thickTop="1" thickBot="1" x14ac:dyDescent="0.35">
      <c r="A17" s="40">
        <v>13</v>
      </c>
      <c r="B17" s="253"/>
      <c r="C17" s="254"/>
      <c r="D17" s="255"/>
      <c r="E17" s="255"/>
      <c r="F17" s="255"/>
      <c r="G17" s="255"/>
      <c r="H17" s="255"/>
      <c r="I17" s="256"/>
      <c r="J17" s="51"/>
      <c r="K17" s="56"/>
      <c r="L17" s="256"/>
      <c r="M17" s="56"/>
      <c r="N17" s="256"/>
      <c r="O17" s="56"/>
      <c r="P17" s="256"/>
      <c r="Q17" s="257"/>
      <c r="R17" s="177" t="str">
        <f t="shared" si="11"/>
        <v/>
      </c>
      <c r="S17" s="47">
        <f t="shared" si="12"/>
        <v>0</v>
      </c>
      <c r="T17" s="41">
        <f t="shared" si="1"/>
        <v>0</v>
      </c>
      <c r="U17" s="41">
        <f t="shared" si="2"/>
        <v>0</v>
      </c>
      <c r="V17" s="41">
        <f t="shared" si="3"/>
        <v>0</v>
      </c>
      <c r="W17" s="41">
        <f t="shared" si="4"/>
        <v>0</v>
      </c>
      <c r="X17" s="42">
        <f t="shared" si="18"/>
        <v>0</v>
      </c>
      <c r="Y17" s="42">
        <f t="shared" si="5"/>
        <v>0</v>
      </c>
      <c r="Z17" s="43">
        <f t="shared" si="6"/>
        <v>0</v>
      </c>
      <c r="AA17" s="44">
        <f t="shared" si="13"/>
        <v>1</v>
      </c>
      <c r="AB17" s="45">
        <f t="shared" si="7"/>
        <v>0</v>
      </c>
      <c r="AC17" s="43">
        <f t="shared" si="8"/>
        <v>0</v>
      </c>
      <c r="AD17" s="43">
        <f t="shared" si="14"/>
        <v>1.8</v>
      </c>
      <c r="AE17" s="43">
        <f t="shared" si="9"/>
        <v>0</v>
      </c>
      <c r="AF17" s="46">
        <f t="shared" si="15"/>
        <v>0</v>
      </c>
      <c r="AG17" s="46">
        <f t="shared" si="16"/>
        <v>0</v>
      </c>
      <c r="AH17" s="47">
        <f>IF(C17="",0,IF(C17=Constants!$B$105,8.2,9))</f>
        <v>0</v>
      </c>
      <c r="AI17" s="48">
        <f t="shared" si="17"/>
        <v>0</v>
      </c>
      <c r="AJ17" s="49">
        <f t="shared" si="10"/>
        <v>0</v>
      </c>
      <c r="AK17" s="102"/>
    </row>
    <row r="18" spans="1:37" ht="13.3" thickTop="1" thickBot="1" x14ac:dyDescent="0.35">
      <c r="A18" s="40">
        <v>14</v>
      </c>
      <c r="B18" s="253"/>
      <c r="C18" s="254"/>
      <c r="D18" s="255"/>
      <c r="E18" s="255"/>
      <c r="F18" s="255"/>
      <c r="G18" s="255"/>
      <c r="H18" s="255"/>
      <c r="I18" s="256"/>
      <c r="J18" s="51"/>
      <c r="K18" s="56"/>
      <c r="L18" s="256"/>
      <c r="M18" s="56"/>
      <c r="N18" s="256"/>
      <c r="O18" s="56"/>
      <c r="P18" s="256"/>
      <c r="Q18" s="257"/>
      <c r="R18" s="177" t="str">
        <f t="shared" si="11"/>
        <v/>
      </c>
      <c r="S18" s="47">
        <f t="shared" si="12"/>
        <v>0</v>
      </c>
      <c r="T18" s="41">
        <f t="shared" si="1"/>
        <v>0</v>
      </c>
      <c r="U18" s="41">
        <f t="shared" si="2"/>
        <v>0</v>
      </c>
      <c r="V18" s="41">
        <f t="shared" si="3"/>
        <v>0</v>
      </c>
      <c r="W18" s="41">
        <f t="shared" si="4"/>
        <v>0</v>
      </c>
      <c r="X18" s="42">
        <f t="shared" si="18"/>
        <v>0</v>
      </c>
      <c r="Y18" s="42">
        <f t="shared" si="5"/>
        <v>0</v>
      </c>
      <c r="Z18" s="43">
        <f t="shared" si="6"/>
        <v>0</v>
      </c>
      <c r="AA18" s="44">
        <f t="shared" si="13"/>
        <v>1</v>
      </c>
      <c r="AB18" s="45">
        <f t="shared" si="7"/>
        <v>0</v>
      </c>
      <c r="AC18" s="43">
        <f t="shared" si="8"/>
        <v>0</v>
      </c>
      <c r="AD18" s="43">
        <f t="shared" si="14"/>
        <v>1.8</v>
      </c>
      <c r="AE18" s="43">
        <f t="shared" si="9"/>
        <v>0</v>
      </c>
      <c r="AF18" s="46">
        <f t="shared" si="15"/>
        <v>0</v>
      </c>
      <c r="AG18" s="46">
        <f t="shared" si="16"/>
        <v>0</v>
      </c>
      <c r="AH18" s="47">
        <f>IF(C18="",0,IF(C18=Constants!$B$105,8.2,9))</f>
        <v>0</v>
      </c>
      <c r="AI18" s="48">
        <f t="shared" si="17"/>
        <v>0</v>
      </c>
      <c r="AJ18" s="49">
        <f t="shared" si="10"/>
        <v>0</v>
      </c>
      <c r="AK18" s="102"/>
    </row>
    <row r="19" spans="1:37" ht="13.3" thickTop="1" thickBot="1" x14ac:dyDescent="0.35">
      <c r="A19" s="40">
        <v>15</v>
      </c>
      <c r="B19" s="253"/>
      <c r="C19" s="254"/>
      <c r="D19" s="255"/>
      <c r="E19" s="255"/>
      <c r="F19" s="255"/>
      <c r="G19" s="255"/>
      <c r="H19" s="255"/>
      <c r="I19" s="256"/>
      <c r="J19" s="51"/>
      <c r="K19" s="56"/>
      <c r="L19" s="256"/>
      <c r="M19" s="56"/>
      <c r="N19" s="256"/>
      <c r="O19" s="56"/>
      <c r="P19" s="256"/>
      <c r="Q19" s="257"/>
      <c r="R19" s="177" t="str">
        <f t="shared" si="11"/>
        <v/>
      </c>
      <c r="S19" s="47">
        <f t="shared" si="12"/>
        <v>0</v>
      </c>
      <c r="T19" s="41">
        <f t="shared" si="1"/>
        <v>0</v>
      </c>
      <c r="U19" s="41">
        <f t="shared" si="2"/>
        <v>0</v>
      </c>
      <c r="V19" s="41">
        <f t="shared" si="3"/>
        <v>0</v>
      </c>
      <c r="W19" s="41">
        <f t="shared" si="4"/>
        <v>0</v>
      </c>
      <c r="X19" s="42">
        <f t="shared" si="18"/>
        <v>0</v>
      </c>
      <c r="Y19" s="42">
        <f t="shared" si="5"/>
        <v>0</v>
      </c>
      <c r="Z19" s="43">
        <f t="shared" si="6"/>
        <v>0</v>
      </c>
      <c r="AA19" s="44">
        <f t="shared" si="13"/>
        <v>1</v>
      </c>
      <c r="AB19" s="45">
        <f t="shared" si="7"/>
        <v>0</v>
      </c>
      <c r="AC19" s="43">
        <f t="shared" si="8"/>
        <v>0</v>
      </c>
      <c r="AD19" s="43">
        <f t="shared" si="14"/>
        <v>1.8</v>
      </c>
      <c r="AE19" s="43">
        <f t="shared" si="9"/>
        <v>0</v>
      </c>
      <c r="AF19" s="46">
        <f t="shared" si="15"/>
        <v>0</v>
      </c>
      <c r="AG19" s="46">
        <f t="shared" si="16"/>
        <v>0</v>
      </c>
      <c r="AH19" s="47">
        <f>IF(C19="",0,IF(C19=Constants!$B$105,8.2,9))</f>
        <v>0</v>
      </c>
      <c r="AI19" s="48">
        <f t="shared" si="17"/>
        <v>0</v>
      </c>
      <c r="AJ19" s="49">
        <f t="shared" si="10"/>
        <v>0</v>
      </c>
      <c r="AK19" s="102"/>
    </row>
    <row r="20" spans="1:37" ht="13.3" thickTop="1" thickBot="1" x14ac:dyDescent="0.35">
      <c r="A20" s="40">
        <v>16</v>
      </c>
      <c r="B20" s="253"/>
      <c r="C20" s="254"/>
      <c r="D20" s="255"/>
      <c r="E20" s="255"/>
      <c r="F20" s="255"/>
      <c r="G20" s="255"/>
      <c r="H20" s="255"/>
      <c r="I20" s="256"/>
      <c r="J20" s="51"/>
      <c r="K20" s="56"/>
      <c r="L20" s="256"/>
      <c r="M20" s="56"/>
      <c r="N20" s="256"/>
      <c r="O20" s="56"/>
      <c r="P20" s="256"/>
      <c r="Q20" s="257"/>
      <c r="R20" s="177" t="str">
        <f t="shared" si="11"/>
        <v/>
      </c>
      <c r="S20" s="47">
        <f t="shared" si="12"/>
        <v>0</v>
      </c>
      <c r="T20" s="41">
        <f t="shared" si="1"/>
        <v>0</v>
      </c>
      <c r="U20" s="41">
        <f t="shared" si="2"/>
        <v>0</v>
      </c>
      <c r="V20" s="41">
        <f t="shared" si="3"/>
        <v>0</v>
      </c>
      <c r="W20" s="41">
        <f t="shared" si="4"/>
        <v>0</v>
      </c>
      <c r="X20" s="42">
        <f t="shared" si="18"/>
        <v>0</v>
      </c>
      <c r="Y20" s="42">
        <f t="shared" si="5"/>
        <v>0</v>
      </c>
      <c r="Z20" s="43">
        <f t="shared" si="6"/>
        <v>0</v>
      </c>
      <c r="AA20" s="44">
        <f t="shared" si="13"/>
        <v>1</v>
      </c>
      <c r="AB20" s="45">
        <f t="shared" si="7"/>
        <v>0</v>
      </c>
      <c r="AC20" s="43">
        <f t="shared" si="8"/>
        <v>0</v>
      </c>
      <c r="AD20" s="43">
        <f t="shared" si="14"/>
        <v>1.8</v>
      </c>
      <c r="AE20" s="43">
        <f t="shared" si="9"/>
        <v>0</v>
      </c>
      <c r="AF20" s="46">
        <f t="shared" si="15"/>
        <v>0</v>
      </c>
      <c r="AG20" s="46">
        <f t="shared" si="16"/>
        <v>0</v>
      </c>
      <c r="AH20" s="47">
        <f>IF(C20="",0,IF(C20=Constants!$B$105,8.2,9))</f>
        <v>0</v>
      </c>
      <c r="AI20" s="48">
        <f t="shared" si="17"/>
        <v>0</v>
      </c>
      <c r="AJ20" s="49">
        <f t="shared" si="10"/>
        <v>0</v>
      </c>
      <c r="AK20" s="102"/>
    </row>
    <row r="21" spans="1:37" ht="13.3" thickTop="1" thickBot="1" x14ac:dyDescent="0.35">
      <c r="A21" s="40">
        <v>17</v>
      </c>
      <c r="B21" s="253"/>
      <c r="C21" s="254"/>
      <c r="D21" s="255"/>
      <c r="E21" s="255"/>
      <c r="F21" s="255"/>
      <c r="G21" s="255"/>
      <c r="H21" s="255"/>
      <c r="I21" s="256"/>
      <c r="J21" s="51"/>
      <c r="K21" s="56"/>
      <c r="L21" s="256"/>
      <c r="M21" s="56"/>
      <c r="N21" s="256"/>
      <c r="O21" s="56"/>
      <c r="P21" s="256"/>
      <c r="Q21" s="257"/>
      <c r="R21" s="177" t="str">
        <f t="shared" si="11"/>
        <v/>
      </c>
      <c r="S21" s="47">
        <f t="shared" si="12"/>
        <v>0</v>
      </c>
      <c r="T21" s="41">
        <f t="shared" si="1"/>
        <v>0</v>
      </c>
      <c r="U21" s="41">
        <f t="shared" si="2"/>
        <v>0</v>
      </c>
      <c r="V21" s="41">
        <f t="shared" si="3"/>
        <v>0</v>
      </c>
      <c r="W21" s="41">
        <f t="shared" si="4"/>
        <v>0</v>
      </c>
      <c r="X21" s="42">
        <f t="shared" si="18"/>
        <v>0</v>
      </c>
      <c r="Y21" s="42">
        <f t="shared" si="5"/>
        <v>0</v>
      </c>
      <c r="Z21" s="43">
        <f t="shared" si="6"/>
        <v>0</v>
      </c>
      <c r="AA21" s="44">
        <f t="shared" si="13"/>
        <v>1</v>
      </c>
      <c r="AB21" s="45">
        <f t="shared" si="7"/>
        <v>0</v>
      </c>
      <c r="AC21" s="43">
        <f t="shared" si="8"/>
        <v>0</v>
      </c>
      <c r="AD21" s="43">
        <f t="shared" si="14"/>
        <v>1.8</v>
      </c>
      <c r="AE21" s="43">
        <f t="shared" si="9"/>
        <v>0</v>
      </c>
      <c r="AF21" s="46">
        <f t="shared" si="15"/>
        <v>0</v>
      </c>
      <c r="AG21" s="46">
        <f t="shared" si="16"/>
        <v>0</v>
      </c>
      <c r="AH21" s="47">
        <f>IF(C21="",0,IF(C21=Constants!$B$105,8.2,9))</f>
        <v>0</v>
      </c>
      <c r="AI21" s="48">
        <f t="shared" si="17"/>
        <v>0</v>
      </c>
      <c r="AJ21" s="49">
        <f t="shared" si="10"/>
        <v>0</v>
      </c>
      <c r="AK21" s="102"/>
    </row>
    <row r="22" spans="1:37" ht="13.3" thickTop="1" thickBot="1" x14ac:dyDescent="0.35">
      <c r="A22" s="40">
        <v>18</v>
      </c>
      <c r="B22" s="253"/>
      <c r="C22" s="254"/>
      <c r="D22" s="255"/>
      <c r="E22" s="255"/>
      <c r="F22" s="255"/>
      <c r="G22" s="255"/>
      <c r="H22" s="255"/>
      <c r="I22" s="256"/>
      <c r="J22" s="51"/>
      <c r="K22" s="56"/>
      <c r="L22" s="256"/>
      <c r="M22" s="56"/>
      <c r="N22" s="256"/>
      <c r="O22" s="56"/>
      <c r="P22" s="256"/>
      <c r="Q22" s="257"/>
      <c r="R22" s="177" t="str">
        <f t="shared" si="11"/>
        <v/>
      </c>
      <c r="S22" s="47">
        <f t="shared" si="12"/>
        <v>0</v>
      </c>
      <c r="T22" s="41">
        <f t="shared" si="1"/>
        <v>0</v>
      </c>
      <c r="U22" s="41">
        <f t="shared" si="2"/>
        <v>0</v>
      </c>
      <c r="V22" s="41">
        <f t="shared" si="3"/>
        <v>0</v>
      </c>
      <c r="W22" s="41">
        <f t="shared" si="4"/>
        <v>0</v>
      </c>
      <c r="X22" s="42">
        <f t="shared" si="18"/>
        <v>0</v>
      </c>
      <c r="Y22" s="42">
        <f t="shared" si="5"/>
        <v>0</v>
      </c>
      <c r="Z22" s="43">
        <f t="shared" si="6"/>
        <v>0</v>
      </c>
      <c r="AA22" s="44">
        <f t="shared" si="13"/>
        <v>1</v>
      </c>
      <c r="AB22" s="45">
        <f t="shared" si="7"/>
        <v>0</v>
      </c>
      <c r="AC22" s="43">
        <f t="shared" si="8"/>
        <v>0</v>
      </c>
      <c r="AD22" s="43">
        <f t="shared" si="14"/>
        <v>1.8</v>
      </c>
      <c r="AE22" s="43">
        <f t="shared" si="9"/>
        <v>0</v>
      </c>
      <c r="AF22" s="46">
        <f t="shared" si="15"/>
        <v>0</v>
      </c>
      <c r="AG22" s="46">
        <f t="shared" si="16"/>
        <v>0</v>
      </c>
      <c r="AH22" s="47">
        <f>IF(C22="",0,IF(C22=Constants!$B$105,8.2,9))</f>
        <v>0</v>
      </c>
      <c r="AI22" s="48">
        <f t="shared" si="17"/>
        <v>0</v>
      </c>
      <c r="AJ22" s="49">
        <f t="shared" si="10"/>
        <v>0</v>
      </c>
      <c r="AK22" s="102"/>
    </row>
    <row r="23" spans="1:37" ht="13.3" thickTop="1" thickBot="1" x14ac:dyDescent="0.35">
      <c r="A23" s="40">
        <v>19</v>
      </c>
      <c r="B23" s="253"/>
      <c r="C23" s="254"/>
      <c r="D23" s="255"/>
      <c r="E23" s="255"/>
      <c r="F23" s="255"/>
      <c r="G23" s="255"/>
      <c r="H23" s="255"/>
      <c r="I23" s="256"/>
      <c r="J23" s="51"/>
      <c r="K23" s="56"/>
      <c r="L23" s="256"/>
      <c r="M23" s="56"/>
      <c r="N23" s="256"/>
      <c r="O23" s="56"/>
      <c r="P23" s="256"/>
      <c r="Q23" s="257"/>
      <c r="R23" s="177" t="str">
        <f t="shared" si="11"/>
        <v/>
      </c>
      <c r="S23" s="47">
        <f t="shared" si="12"/>
        <v>0</v>
      </c>
      <c r="T23" s="41">
        <f t="shared" si="1"/>
        <v>0</v>
      </c>
      <c r="U23" s="41">
        <f t="shared" si="2"/>
        <v>0</v>
      </c>
      <c r="V23" s="41">
        <f t="shared" si="3"/>
        <v>0</v>
      </c>
      <c r="W23" s="41">
        <f t="shared" si="4"/>
        <v>0</v>
      </c>
      <c r="X23" s="42">
        <f t="shared" si="18"/>
        <v>0</v>
      </c>
      <c r="Y23" s="42">
        <f t="shared" si="5"/>
        <v>0</v>
      </c>
      <c r="Z23" s="43">
        <f t="shared" si="6"/>
        <v>0</v>
      </c>
      <c r="AA23" s="44">
        <f t="shared" si="13"/>
        <v>1</v>
      </c>
      <c r="AB23" s="45">
        <f t="shared" si="7"/>
        <v>0</v>
      </c>
      <c r="AC23" s="43">
        <f t="shared" si="8"/>
        <v>0</v>
      </c>
      <c r="AD23" s="43">
        <f t="shared" si="14"/>
        <v>1.8</v>
      </c>
      <c r="AE23" s="43">
        <f t="shared" si="9"/>
        <v>0</v>
      </c>
      <c r="AF23" s="46">
        <f t="shared" si="15"/>
        <v>0</v>
      </c>
      <c r="AG23" s="46">
        <f t="shared" si="16"/>
        <v>0</v>
      </c>
      <c r="AH23" s="47">
        <f>IF(C23="",0,IF(C23=Constants!$B$105,8.2,9))</f>
        <v>0</v>
      </c>
      <c r="AI23" s="48">
        <f t="shared" si="17"/>
        <v>0</v>
      </c>
      <c r="AJ23" s="49">
        <f t="shared" si="10"/>
        <v>0</v>
      </c>
      <c r="AK23" s="102"/>
    </row>
    <row r="24" spans="1:37" ht="13.3" thickTop="1" thickBot="1" x14ac:dyDescent="0.35">
      <c r="A24" s="40">
        <v>20</v>
      </c>
      <c r="B24" s="253"/>
      <c r="C24" s="254"/>
      <c r="D24" s="255"/>
      <c r="E24" s="255"/>
      <c r="F24" s="255"/>
      <c r="G24" s="255"/>
      <c r="H24" s="255"/>
      <c r="I24" s="256"/>
      <c r="J24" s="51"/>
      <c r="K24" s="56"/>
      <c r="L24" s="256"/>
      <c r="M24" s="56"/>
      <c r="N24" s="256"/>
      <c r="O24" s="56"/>
      <c r="P24" s="256"/>
      <c r="Q24" s="257"/>
      <c r="R24" s="177" t="str">
        <f t="shared" si="11"/>
        <v/>
      </c>
      <c r="S24" s="47">
        <f t="shared" ref="S24:S34" si="19">IF(OR(G24=0,G24=""),(D24*E24),G24)</f>
        <v>0</v>
      </c>
      <c r="T24" s="41">
        <f t="shared" si="1"/>
        <v>0</v>
      </c>
      <c r="U24" s="41">
        <f t="shared" si="2"/>
        <v>0</v>
      </c>
      <c r="V24" s="41">
        <f t="shared" si="3"/>
        <v>0</v>
      </c>
      <c r="W24" s="41">
        <f t="shared" si="4"/>
        <v>0</v>
      </c>
      <c r="X24" s="42">
        <f t="shared" ref="X24:X34" si="20">IF(S24=0,0,T24/S24)</f>
        <v>0</v>
      </c>
      <c r="Y24" s="42">
        <f t="shared" si="5"/>
        <v>0</v>
      </c>
      <c r="Z24" s="43">
        <f t="shared" si="6"/>
        <v>0</v>
      </c>
      <c r="AA24" s="44">
        <f t="shared" ref="AA24:AA34" si="21">IF(T24=0,1,0.7/U24)</f>
        <v>1</v>
      </c>
      <c r="AB24" s="45">
        <f t="shared" si="7"/>
        <v>0</v>
      </c>
      <c r="AC24" s="43">
        <f t="shared" si="8"/>
        <v>0</v>
      </c>
      <c r="AD24" s="43">
        <f t="shared" ref="AD24:AD34" si="22">ROUND(IF((F24-V24)&lt;2,1.8,0.8+(0.2/(F24-V24-1.8))),2)</f>
        <v>1.8</v>
      </c>
      <c r="AE24" s="43">
        <f t="shared" si="9"/>
        <v>0</v>
      </c>
      <c r="AF24" s="46">
        <f t="shared" ref="AF24:AF34" si="23">MIN(11,2*Z24*AA24*AB24*AC24*MAX(AD24,AE24))</f>
        <v>0</v>
      </c>
      <c r="AG24" s="46">
        <f t="shared" si="16"/>
        <v>0</v>
      </c>
      <c r="AH24" s="47">
        <f>IF(C24="",0,IF(C24=Constants!$B$105,8.2,9))</f>
        <v>0</v>
      </c>
      <c r="AI24" s="48">
        <f t="shared" ref="AI24:AI34" si="24">MIN(11-AG24,AH24)</f>
        <v>0</v>
      </c>
      <c r="AJ24" s="49">
        <f t="shared" si="10"/>
        <v>0</v>
      </c>
      <c r="AK24" s="102"/>
    </row>
    <row r="25" spans="1:37" ht="13.3" thickTop="1" thickBot="1" x14ac:dyDescent="0.35">
      <c r="A25" s="40">
        <v>21</v>
      </c>
      <c r="B25" s="253"/>
      <c r="C25" s="254"/>
      <c r="D25" s="255"/>
      <c r="E25" s="255"/>
      <c r="F25" s="255"/>
      <c r="G25" s="255"/>
      <c r="H25" s="255"/>
      <c r="I25" s="256"/>
      <c r="J25" s="51"/>
      <c r="K25" s="56"/>
      <c r="L25" s="256"/>
      <c r="M25" s="56"/>
      <c r="N25" s="256"/>
      <c r="O25" s="56"/>
      <c r="P25" s="256"/>
      <c r="Q25" s="257"/>
      <c r="R25" s="177" t="str">
        <f t="shared" si="11"/>
        <v/>
      </c>
      <c r="S25" s="47">
        <f t="shared" si="19"/>
        <v>0</v>
      </c>
      <c r="T25" s="41">
        <f t="shared" si="1"/>
        <v>0</v>
      </c>
      <c r="U25" s="41">
        <f t="shared" si="2"/>
        <v>0</v>
      </c>
      <c r="V25" s="41">
        <f t="shared" si="3"/>
        <v>0</v>
      </c>
      <c r="W25" s="41">
        <f t="shared" si="4"/>
        <v>0</v>
      </c>
      <c r="X25" s="42">
        <f t="shared" si="20"/>
        <v>0</v>
      </c>
      <c r="Y25" s="42">
        <f t="shared" si="5"/>
        <v>0</v>
      </c>
      <c r="Z25" s="43">
        <f t="shared" si="6"/>
        <v>0</v>
      </c>
      <c r="AA25" s="44">
        <f t="shared" si="21"/>
        <v>1</v>
      </c>
      <c r="AB25" s="45">
        <f t="shared" si="7"/>
        <v>0</v>
      </c>
      <c r="AC25" s="43">
        <f t="shared" si="8"/>
        <v>0</v>
      </c>
      <c r="AD25" s="43">
        <f t="shared" si="22"/>
        <v>1.8</v>
      </c>
      <c r="AE25" s="43">
        <f t="shared" si="9"/>
        <v>0</v>
      </c>
      <c r="AF25" s="46">
        <f t="shared" si="23"/>
        <v>0</v>
      </c>
      <c r="AG25" s="46">
        <f t="shared" si="16"/>
        <v>0</v>
      </c>
      <c r="AH25" s="47">
        <f>IF(C25="",0,IF(C25=Constants!$B$105,8.2,9))</f>
        <v>0</v>
      </c>
      <c r="AI25" s="48">
        <f t="shared" si="24"/>
        <v>0</v>
      </c>
      <c r="AJ25" s="49">
        <f t="shared" si="10"/>
        <v>0</v>
      </c>
      <c r="AK25" s="102"/>
    </row>
    <row r="26" spans="1:37" ht="13.3" thickTop="1" thickBot="1" x14ac:dyDescent="0.35">
      <c r="A26" s="40">
        <v>22</v>
      </c>
      <c r="B26" s="253"/>
      <c r="C26" s="254"/>
      <c r="D26" s="255"/>
      <c r="E26" s="255"/>
      <c r="F26" s="255"/>
      <c r="G26" s="255"/>
      <c r="H26" s="255"/>
      <c r="I26" s="256"/>
      <c r="J26" s="51"/>
      <c r="K26" s="56"/>
      <c r="L26" s="256"/>
      <c r="M26" s="56"/>
      <c r="N26" s="256"/>
      <c r="O26" s="56"/>
      <c r="P26" s="256"/>
      <c r="Q26" s="257"/>
      <c r="R26" s="177" t="str">
        <f t="shared" si="11"/>
        <v/>
      </c>
      <c r="S26" s="47">
        <f t="shared" si="19"/>
        <v>0</v>
      </c>
      <c r="T26" s="41">
        <f t="shared" si="1"/>
        <v>0</v>
      </c>
      <c r="U26" s="41">
        <f t="shared" si="2"/>
        <v>0</v>
      </c>
      <c r="V26" s="41">
        <f t="shared" si="3"/>
        <v>0</v>
      </c>
      <c r="W26" s="41">
        <f t="shared" si="4"/>
        <v>0</v>
      </c>
      <c r="X26" s="42">
        <f t="shared" si="20"/>
        <v>0</v>
      </c>
      <c r="Y26" s="42">
        <f t="shared" si="5"/>
        <v>0</v>
      </c>
      <c r="Z26" s="43">
        <f t="shared" si="6"/>
        <v>0</v>
      </c>
      <c r="AA26" s="44">
        <f t="shared" si="21"/>
        <v>1</v>
      </c>
      <c r="AB26" s="45">
        <f t="shared" si="7"/>
        <v>0</v>
      </c>
      <c r="AC26" s="43">
        <f t="shared" si="8"/>
        <v>0</v>
      </c>
      <c r="AD26" s="43">
        <f t="shared" si="22"/>
        <v>1.8</v>
      </c>
      <c r="AE26" s="43">
        <f t="shared" si="9"/>
        <v>0</v>
      </c>
      <c r="AF26" s="46">
        <f t="shared" si="23"/>
        <v>0</v>
      </c>
      <c r="AG26" s="46">
        <f t="shared" si="16"/>
        <v>0</v>
      </c>
      <c r="AH26" s="47">
        <f>IF(C26="",0,IF(C26=Constants!$B$105,8.2,9))</f>
        <v>0</v>
      </c>
      <c r="AI26" s="48">
        <f t="shared" si="24"/>
        <v>0</v>
      </c>
      <c r="AJ26" s="49">
        <f t="shared" si="10"/>
        <v>0</v>
      </c>
      <c r="AK26" s="102"/>
    </row>
    <row r="27" spans="1:37" ht="13.3" thickTop="1" thickBot="1" x14ac:dyDescent="0.35">
      <c r="A27" s="40">
        <v>23</v>
      </c>
      <c r="B27" s="253"/>
      <c r="C27" s="254"/>
      <c r="D27" s="255"/>
      <c r="E27" s="255"/>
      <c r="F27" s="255"/>
      <c r="G27" s="255"/>
      <c r="H27" s="255"/>
      <c r="I27" s="256"/>
      <c r="J27" s="51"/>
      <c r="K27" s="56"/>
      <c r="L27" s="256"/>
      <c r="M27" s="56"/>
      <c r="N27" s="256"/>
      <c r="O27" s="56"/>
      <c r="P27" s="256"/>
      <c r="Q27" s="257"/>
      <c r="R27" s="177" t="str">
        <f t="shared" si="11"/>
        <v/>
      </c>
      <c r="S27" s="47">
        <f t="shared" si="19"/>
        <v>0</v>
      </c>
      <c r="T27" s="41">
        <f t="shared" si="1"/>
        <v>0</v>
      </c>
      <c r="U27" s="41">
        <f t="shared" si="2"/>
        <v>0</v>
      </c>
      <c r="V27" s="41">
        <f t="shared" si="3"/>
        <v>0</v>
      </c>
      <c r="W27" s="41">
        <f t="shared" si="4"/>
        <v>0</v>
      </c>
      <c r="X27" s="42">
        <f t="shared" si="20"/>
        <v>0</v>
      </c>
      <c r="Y27" s="42">
        <f t="shared" si="5"/>
        <v>0</v>
      </c>
      <c r="Z27" s="43">
        <f t="shared" si="6"/>
        <v>0</v>
      </c>
      <c r="AA27" s="44">
        <f t="shared" si="21"/>
        <v>1</v>
      </c>
      <c r="AB27" s="45">
        <f t="shared" si="7"/>
        <v>0</v>
      </c>
      <c r="AC27" s="43">
        <f t="shared" si="8"/>
        <v>0</v>
      </c>
      <c r="AD27" s="43">
        <f t="shared" si="22"/>
        <v>1.8</v>
      </c>
      <c r="AE27" s="43">
        <f t="shared" si="9"/>
        <v>0</v>
      </c>
      <c r="AF27" s="46">
        <f t="shared" si="23"/>
        <v>0</v>
      </c>
      <c r="AG27" s="46">
        <f t="shared" si="16"/>
        <v>0</v>
      </c>
      <c r="AH27" s="47">
        <f>IF(C27="",0,IF(C27=Constants!$B$105,8.2,9))</f>
        <v>0</v>
      </c>
      <c r="AI27" s="48">
        <f t="shared" si="24"/>
        <v>0</v>
      </c>
      <c r="AJ27" s="49">
        <f t="shared" si="10"/>
        <v>0</v>
      </c>
      <c r="AK27" s="102"/>
    </row>
    <row r="28" spans="1:37" ht="13.3" thickTop="1" thickBot="1" x14ac:dyDescent="0.35">
      <c r="A28" s="40">
        <v>24</v>
      </c>
      <c r="B28" s="253"/>
      <c r="C28" s="254"/>
      <c r="D28" s="255"/>
      <c r="E28" s="255"/>
      <c r="F28" s="255"/>
      <c r="G28" s="255"/>
      <c r="H28" s="255"/>
      <c r="I28" s="256"/>
      <c r="J28" s="51"/>
      <c r="K28" s="56"/>
      <c r="L28" s="256"/>
      <c r="M28" s="56"/>
      <c r="N28" s="256"/>
      <c r="O28" s="56"/>
      <c r="P28" s="256"/>
      <c r="Q28" s="257"/>
      <c r="R28" s="177" t="str">
        <f t="shared" si="11"/>
        <v/>
      </c>
      <c r="S28" s="47">
        <f t="shared" si="19"/>
        <v>0</v>
      </c>
      <c r="T28" s="41">
        <f t="shared" si="1"/>
        <v>0</v>
      </c>
      <c r="U28" s="41">
        <f t="shared" si="2"/>
        <v>0</v>
      </c>
      <c r="V28" s="41">
        <f t="shared" si="3"/>
        <v>0</v>
      </c>
      <c r="W28" s="41">
        <f t="shared" si="4"/>
        <v>0</v>
      </c>
      <c r="X28" s="42">
        <f t="shared" si="20"/>
        <v>0</v>
      </c>
      <c r="Y28" s="42">
        <f t="shared" si="5"/>
        <v>0</v>
      </c>
      <c r="Z28" s="43">
        <f t="shared" si="6"/>
        <v>0</v>
      </c>
      <c r="AA28" s="44">
        <f t="shared" si="21"/>
        <v>1</v>
      </c>
      <c r="AB28" s="45">
        <f t="shared" si="7"/>
        <v>0</v>
      </c>
      <c r="AC28" s="43">
        <f t="shared" si="8"/>
        <v>0</v>
      </c>
      <c r="AD28" s="43">
        <f t="shared" si="22"/>
        <v>1.8</v>
      </c>
      <c r="AE28" s="43">
        <f t="shared" si="9"/>
        <v>0</v>
      </c>
      <c r="AF28" s="46">
        <f t="shared" si="23"/>
        <v>0</v>
      </c>
      <c r="AG28" s="46">
        <f t="shared" si="16"/>
        <v>0</v>
      </c>
      <c r="AH28" s="47">
        <f>IF(C28="",0,IF(C28=Constants!$B$105,8.2,9))</f>
        <v>0</v>
      </c>
      <c r="AI28" s="48">
        <f t="shared" si="24"/>
        <v>0</v>
      </c>
      <c r="AJ28" s="49">
        <f t="shared" si="10"/>
        <v>0</v>
      </c>
      <c r="AK28" s="102"/>
    </row>
    <row r="29" spans="1:37" ht="13.3" thickTop="1" thickBot="1" x14ac:dyDescent="0.35">
      <c r="A29" s="40">
        <v>25</v>
      </c>
      <c r="B29" s="253"/>
      <c r="C29" s="254"/>
      <c r="D29" s="255"/>
      <c r="E29" s="255"/>
      <c r="F29" s="255"/>
      <c r="G29" s="255"/>
      <c r="H29" s="255"/>
      <c r="I29" s="256"/>
      <c r="J29" s="51"/>
      <c r="K29" s="56"/>
      <c r="L29" s="256"/>
      <c r="M29" s="56"/>
      <c r="N29" s="256"/>
      <c r="O29" s="56"/>
      <c r="P29" s="256"/>
      <c r="Q29" s="257"/>
      <c r="R29" s="177" t="str">
        <f t="shared" si="11"/>
        <v/>
      </c>
      <c r="S29" s="47">
        <f t="shared" si="19"/>
        <v>0</v>
      </c>
      <c r="T29" s="41">
        <f t="shared" si="1"/>
        <v>0</v>
      </c>
      <c r="U29" s="41">
        <f t="shared" si="2"/>
        <v>0</v>
      </c>
      <c r="V29" s="41">
        <f t="shared" si="3"/>
        <v>0</v>
      </c>
      <c r="W29" s="41">
        <f t="shared" si="4"/>
        <v>0</v>
      </c>
      <c r="X29" s="42">
        <f t="shared" si="20"/>
        <v>0</v>
      </c>
      <c r="Y29" s="42">
        <f t="shared" si="5"/>
        <v>0</v>
      </c>
      <c r="Z29" s="43">
        <f t="shared" si="6"/>
        <v>0</v>
      </c>
      <c r="AA29" s="44">
        <f t="shared" si="21"/>
        <v>1</v>
      </c>
      <c r="AB29" s="45">
        <f t="shared" si="7"/>
        <v>0</v>
      </c>
      <c r="AC29" s="43">
        <f t="shared" si="8"/>
        <v>0</v>
      </c>
      <c r="AD29" s="43">
        <f t="shared" si="22"/>
        <v>1.8</v>
      </c>
      <c r="AE29" s="43">
        <f t="shared" si="9"/>
        <v>0</v>
      </c>
      <c r="AF29" s="46">
        <f t="shared" si="23"/>
        <v>0</v>
      </c>
      <c r="AG29" s="46">
        <f t="shared" si="16"/>
        <v>0</v>
      </c>
      <c r="AH29" s="47">
        <f>IF(C29="",0,IF(C29=Constants!$B$105,8.2,9))</f>
        <v>0</v>
      </c>
      <c r="AI29" s="48">
        <f t="shared" si="24"/>
        <v>0</v>
      </c>
      <c r="AJ29" s="49">
        <f t="shared" si="10"/>
        <v>0</v>
      </c>
      <c r="AK29" s="102"/>
    </row>
    <row r="30" spans="1:37" ht="13.3" thickTop="1" thickBot="1" x14ac:dyDescent="0.35">
      <c r="A30" s="40">
        <v>26</v>
      </c>
      <c r="B30" s="253"/>
      <c r="C30" s="254"/>
      <c r="D30" s="255"/>
      <c r="E30" s="255"/>
      <c r="F30" s="255"/>
      <c r="G30" s="255"/>
      <c r="H30" s="255"/>
      <c r="I30" s="256"/>
      <c r="J30" s="51"/>
      <c r="K30" s="56"/>
      <c r="L30" s="256"/>
      <c r="M30" s="56"/>
      <c r="N30" s="256"/>
      <c r="O30" s="56"/>
      <c r="P30" s="256"/>
      <c r="Q30" s="257"/>
      <c r="R30" s="177" t="str">
        <f t="shared" si="11"/>
        <v/>
      </c>
      <c r="S30" s="47">
        <f t="shared" si="19"/>
        <v>0</v>
      </c>
      <c r="T30" s="41">
        <f t="shared" si="1"/>
        <v>0</v>
      </c>
      <c r="U30" s="41">
        <f t="shared" si="2"/>
        <v>0</v>
      </c>
      <c r="V30" s="41">
        <f t="shared" si="3"/>
        <v>0</v>
      </c>
      <c r="W30" s="41">
        <f t="shared" si="4"/>
        <v>0</v>
      </c>
      <c r="X30" s="42">
        <f t="shared" si="20"/>
        <v>0</v>
      </c>
      <c r="Y30" s="42">
        <f t="shared" si="5"/>
        <v>0</v>
      </c>
      <c r="Z30" s="43">
        <f t="shared" si="6"/>
        <v>0</v>
      </c>
      <c r="AA30" s="44">
        <f t="shared" si="21"/>
        <v>1</v>
      </c>
      <c r="AB30" s="45">
        <f t="shared" si="7"/>
        <v>0</v>
      </c>
      <c r="AC30" s="43">
        <f t="shared" si="8"/>
        <v>0</v>
      </c>
      <c r="AD30" s="43">
        <f t="shared" si="22"/>
        <v>1.8</v>
      </c>
      <c r="AE30" s="43">
        <f t="shared" si="9"/>
        <v>0</v>
      </c>
      <c r="AF30" s="46">
        <f t="shared" si="23"/>
        <v>0</v>
      </c>
      <c r="AG30" s="46">
        <f t="shared" si="16"/>
        <v>0</v>
      </c>
      <c r="AH30" s="47">
        <f>IF(C30="",0,IF(C30=Constants!$B$105,8.2,9))</f>
        <v>0</v>
      </c>
      <c r="AI30" s="48">
        <f t="shared" si="24"/>
        <v>0</v>
      </c>
      <c r="AJ30" s="49">
        <f t="shared" si="10"/>
        <v>0</v>
      </c>
      <c r="AK30" s="102"/>
    </row>
    <row r="31" spans="1:37" ht="13.3" thickTop="1" thickBot="1" x14ac:dyDescent="0.35">
      <c r="A31" s="40">
        <v>27</v>
      </c>
      <c r="B31" s="253"/>
      <c r="C31" s="254"/>
      <c r="D31" s="255"/>
      <c r="E31" s="255"/>
      <c r="F31" s="255"/>
      <c r="G31" s="255"/>
      <c r="H31" s="255"/>
      <c r="I31" s="256"/>
      <c r="J31" s="51"/>
      <c r="K31" s="56"/>
      <c r="L31" s="256"/>
      <c r="M31" s="56"/>
      <c r="N31" s="256"/>
      <c r="O31" s="56"/>
      <c r="P31" s="256"/>
      <c r="Q31" s="257"/>
      <c r="R31" s="177" t="str">
        <f t="shared" si="11"/>
        <v/>
      </c>
      <c r="S31" s="47">
        <f t="shared" si="19"/>
        <v>0</v>
      </c>
      <c r="T31" s="41">
        <f t="shared" si="1"/>
        <v>0</v>
      </c>
      <c r="U31" s="41">
        <f t="shared" si="2"/>
        <v>0</v>
      </c>
      <c r="V31" s="41">
        <f t="shared" si="3"/>
        <v>0</v>
      </c>
      <c r="W31" s="41">
        <f t="shared" si="4"/>
        <v>0</v>
      </c>
      <c r="X31" s="42">
        <f t="shared" si="20"/>
        <v>0</v>
      </c>
      <c r="Y31" s="42">
        <f t="shared" si="5"/>
        <v>0</v>
      </c>
      <c r="Z31" s="43">
        <f t="shared" si="6"/>
        <v>0</v>
      </c>
      <c r="AA31" s="44">
        <f t="shared" si="21"/>
        <v>1</v>
      </c>
      <c r="AB31" s="45">
        <f t="shared" si="7"/>
        <v>0</v>
      </c>
      <c r="AC31" s="43">
        <f t="shared" si="8"/>
        <v>0</v>
      </c>
      <c r="AD31" s="43">
        <f t="shared" si="22"/>
        <v>1.8</v>
      </c>
      <c r="AE31" s="43">
        <f t="shared" si="9"/>
        <v>0</v>
      </c>
      <c r="AF31" s="46">
        <f t="shared" si="23"/>
        <v>0</v>
      </c>
      <c r="AG31" s="46">
        <f t="shared" si="16"/>
        <v>0</v>
      </c>
      <c r="AH31" s="47">
        <f>IF(C31="",0,IF(C31=Constants!$B$105,8.2,9))</f>
        <v>0</v>
      </c>
      <c r="AI31" s="48">
        <f t="shared" si="24"/>
        <v>0</v>
      </c>
      <c r="AJ31" s="49">
        <f t="shared" si="10"/>
        <v>0</v>
      </c>
      <c r="AK31" s="102"/>
    </row>
    <row r="32" spans="1:37" ht="13.3" thickTop="1" thickBot="1" x14ac:dyDescent="0.35">
      <c r="A32" s="40">
        <v>28</v>
      </c>
      <c r="B32" s="253"/>
      <c r="C32" s="254"/>
      <c r="D32" s="255"/>
      <c r="E32" s="255"/>
      <c r="F32" s="255"/>
      <c r="G32" s="255"/>
      <c r="H32" s="255"/>
      <c r="I32" s="256"/>
      <c r="J32" s="51"/>
      <c r="K32" s="56"/>
      <c r="L32" s="256"/>
      <c r="M32" s="56"/>
      <c r="N32" s="256"/>
      <c r="O32" s="56"/>
      <c r="P32" s="256"/>
      <c r="Q32" s="257"/>
      <c r="R32" s="177" t="str">
        <f t="shared" si="11"/>
        <v/>
      </c>
      <c r="S32" s="47">
        <f t="shared" si="19"/>
        <v>0</v>
      </c>
      <c r="T32" s="41">
        <f t="shared" si="1"/>
        <v>0</v>
      </c>
      <c r="U32" s="41">
        <f t="shared" si="2"/>
        <v>0</v>
      </c>
      <c r="V32" s="41">
        <f t="shared" si="3"/>
        <v>0</v>
      </c>
      <c r="W32" s="41">
        <f t="shared" si="4"/>
        <v>0</v>
      </c>
      <c r="X32" s="42">
        <f t="shared" si="20"/>
        <v>0</v>
      </c>
      <c r="Y32" s="42">
        <f t="shared" si="5"/>
        <v>0</v>
      </c>
      <c r="Z32" s="43">
        <f t="shared" si="6"/>
        <v>0</v>
      </c>
      <c r="AA32" s="44">
        <f t="shared" si="21"/>
        <v>1</v>
      </c>
      <c r="AB32" s="45">
        <f t="shared" si="7"/>
        <v>0</v>
      </c>
      <c r="AC32" s="43">
        <f t="shared" si="8"/>
        <v>0</v>
      </c>
      <c r="AD32" s="43">
        <f t="shared" si="22"/>
        <v>1.8</v>
      </c>
      <c r="AE32" s="43">
        <f t="shared" si="9"/>
        <v>0</v>
      </c>
      <c r="AF32" s="46">
        <f t="shared" si="23"/>
        <v>0</v>
      </c>
      <c r="AG32" s="46">
        <f t="shared" si="16"/>
        <v>0</v>
      </c>
      <c r="AH32" s="47">
        <f>IF(C32="",0,IF(C32=Constants!$B$105,8.2,9))</f>
        <v>0</v>
      </c>
      <c r="AI32" s="48">
        <f t="shared" si="24"/>
        <v>0</v>
      </c>
      <c r="AJ32" s="49">
        <f t="shared" si="10"/>
        <v>0</v>
      </c>
      <c r="AK32" s="102"/>
    </row>
    <row r="33" spans="1:37" ht="13.3" thickTop="1" thickBot="1" x14ac:dyDescent="0.35">
      <c r="A33" s="40">
        <v>29</v>
      </c>
      <c r="B33" s="54"/>
      <c r="C33" s="50"/>
      <c r="D33" s="55"/>
      <c r="E33" s="55"/>
      <c r="F33" s="55"/>
      <c r="G33" s="55"/>
      <c r="H33" s="55"/>
      <c r="I33" s="52"/>
      <c r="J33" s="53"/>
      <c r="K33" s="57"/>
      <c r="L33" s="52"/>
      <c r="M33" s="57"/>
      <c r="N33" s="52"/>
      <c r="O33" s="57"/>
      <c r="P33" s="52"/>
      <c r="Q33" s="58"/>
      <c r="R33" s="177" t="str">
        <f t="shared" si="11"/>
        <v/>
      </c>
      <c r="S33" s="47">
        <f t="shared" si="19"/>
        <v>0</v>
      </c>
      <c r="T33" s="41">
        <f t="shared" si="1"/>
        <v>0</v>
      </c>
      <c r="U33" s="41">
        <f t="shared" si="2"/>
        <v>0</v>
      </c>
      <c r="V33" s="41">
        <f t="shared" si="3"/>
        <v>0</v>
      </c>
      <c r="W33" s="41">
        <f t="shared" si="4"/>
        <v>0</v>
      </c>
      <c r="X33" s="42">
        <f t="shared" si="20"/>
        <v>0</v>
      </c>
      <c r="Y33" s="42">
        <f t="shared" si="5"/>
        <v>0</v>
      </c>
      <c r="Z33" s="43">
        <f t="shared" si="6"/>
        <v>0</v>
      </c>
      <c r="AA33" s="44">
        <f t="shared" si="21"/>
        <v>1</v>
      </c>
      <c r="AB33" s="45">
        <f t="shared" si="7"/>
        <v>0</v>
      </c>
      <c r="AC33" s="43">
        <f t="shared" si="8"/>
        <v>0</v>
      </c>
      <c r="AD33" s="43">
        <f t="shared" si="22"/>
        <v>1.8</v>
      </c>
      <c r="AE33" s="43">
        <f t="shared" si="9"/>
        <v>0</v>
      </c>
      <c r="AF33" s="46">
        <f t="shared" si="23"/>
        <v>0</v>
      </c>
      <c r="AG33" s="46">
        <f t="shared" si="16"/>
        <v>0</v>
      </c>
      <c r="AH33" s="47">
        <f>IF(C33="",0,IF(C33=Constants!$B$105,8.2,9))</f>
        <v>0</v>
      </c>
      <c r="AI33" s="48">
        <f t="shared" si="24"/>
        <v>0</v>
      </c>
      <c r="AJ33" s="49">
        <f t="shared" si="10"/>
        <v>0</v>
      </c>
      <c r="AK33" s="102"/>
    </row>
    <row r="34" spans="1:37" ht="13.3" thickTop="1" thickBot="1" x14ac:dyDescent="0.35">
      <c r="A34" s="40">
        <v>30</v>
      </c>
      <c r="B34" s="54"/>
      <c r="C34" s="50"/>
      <c r="D34" s="55"/>
      <c r="E34" s="55"/>
      <c r="F34" s="55"/>
      <c r="G34" s="55"/>
      <c r="H34" s="55"/>
      <c r="I34" s="52"/>
      <c r="J34" s="53"/>
      <c r="K34" s="57"/>
      <c r="L34" s="52"/>
      <c r="M34" s="57"/>
      <c r="N34" s="52"/>
      <c r="O34" s="57"/>
      <c r="P34" s="52"/>
      <c r="Q34" s="58"/>
      <c r="R34" s="177" t="str">
        <f t="shared" si="11"/>
        <v/>
      </c>
      <c r="S34" s="47">
        <f t="shared" si="19"/>
        <v>0</v>
      </c>
      <c r="T34" s="41">
        <f t="shared" si="1"/>
        <v>0</v>
      </c>
      <c r="U34" s="41">
        <f t="shared" si="2"/>
        <v>0</v>
      </c>
      <c r="V34" s="41">
        <f t="shared" si="3"/>
        <v>0</v>
      </c>
      <c r="W34" s="41">
        <f t="shared" si="4"/>
        <v>0</v>
      </c>
      <c r="X34" s="42">
        <f t="shared" si="20"/>
        <v>0</v>
      </c>
      <c r="Y34" s="42">
        <f t="shared" si="5"/>
        <v>0</v>
      </c>
      <c r="Z34" s="43">
        <f t="shared" si="6"/>
        <v>0</v>
      </c>
      <c r="AA34" s="44">
        <f t="shared" si="21"/>
        <v>1</v>
      </c>
      <c r="AB34" s="45">
        <f t="shared" si="7"/>
        <v>0</v>
      </c>
      <c r="AC34" s="43">
        <f t="shared" si="8"/>
        <v>0</v>
      </c>
      <c r="AD34" s="43">
        <f t="shared" si="22"/>
        <v>1.8</v>
      </c>
      <c r="AE34" s="43">
        <f t="shared" si="9"/>
        <v>0</v>
      </c>
      <c r="AF34" s="46">
        <f t="shared" si="23"/>
        <v>0</v>
      </c>
      <c r="AG34" s="46">
        <f t="shared" si="16"/>
        <v>0</v>
      </c>
      <c r="AH34" s="47">
        <f>IF(C34="",0,IF(C34=Constants!$B$105,8.2,9))</f>
        <v>0</v>
      </c>
      <c r="AI34" s="48">
        <f t="shared" si="24"/>
        <v>0</v>
      </c>
      <c r="AJ34" s="49">
        <f t="shared" si="10"/>
        <v>0</v>
      </c>
      <c r="AK34" s="102"/>
    </row>
    <row r="35" spans="1:37" s="31" customFormat="1" ht="19.5" customHeight="1" thickTop="1" x14ac:dyDescent="0.3">
      <c r="A35" s="103"/>
      <c r="B35" s="103"/>
      <c r="C35" s="103"/>
      <c r="D35" s="104"/>
      <c r="E35" s="104"/>
      <c r="F35" s="104"/>
      <c r="G35" s="104"/>
      <c r="H35" s="104"/>
      <c r="I35" s="104"/>
      <c r="J35" s="105"/>
      <c r="K35" s="105"/>
      <c r="L35" s="104"/>
      <c r="M35" s="105"/>
      <c r="N35" s="104"/>
      <c r="O35" s="104"/>
      <c r="P35" s="104"/>
      <c r="Q35" s="106"/>
      <c r="R35" s="106"/>
      <c r="S35" s="106"/>
      <c r="T35" s="106"/>
      <c r="U35" s="106"/>
      <c r="V35" s="106"/>
      <c r="W35" s="106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3"/>
      <c r="AI35" s="103"/>
      <c r="AJ35" s="103"/>
      <c r="AK35" s="103"/>
    </row>
    <row r="36" spans="1:37" ht="21" customHeight="1" x14ac:dyDescent="0.3">
      <c r="A36" s="94"/>
      <c r="B36" s="95" t="str">
        <f>VLOOKUP(ADDRESS(ROW(),COLUMN(),4),MatrixTexteT3,2,FALSE)</f>
        <v>Risultati</v>
      </c>
      <c r="C36" s="94"/>
      <c r="D36" s="94"/>
      <c r="E36" s="94"/>
      <c r="F36" s="165" t="str">
        <f>VLOOKUP(ADDRESS(ROW(),COLUMN(),4),MatrixTexteT3,2,FALSE)</f>
        <v>Risultati di questo foglio</v>
      </c>
      <c r="G36" s="96"/>
      <c r="H36" s="94"/>
      <c r="I36" s="97"/>
      <c r="J36" s="165" t="str">
        <f>VLOOKUP(ADDRESS(ROW(),COLUMN(),4),MatrixTexteT3,2,FALSE)</f>
        <v>Riporto di un'altra prova</v>
      </c>
      <c r="K36" s="96"/>
      <c r="L36" s="96"/>
      <c r="M36" s="98"/>
      <c r="N36" s="165" t="str">
        <f>VLOOKUP(ADDRESS(ROW(),COLUMN(),4),MatrixTexteT3,2,FALSE)</f>
        <v>Risultati globali</v>
      </c>
      <c r="O36" s="96"/>
      <c r="P36" s="96"/>
      <c r="Q36" s="96"/>
      <c r="R36" s="98"/>
      <c r="S36" s="165" t="s">
        <v>1093</v>
      </c>
      <c r="AJ36" s="264" t="s">
        <v>1093</v>
      </c>
      <c r="AK36" s="102"/>
    </row>
    <row r="37" spans="1:37" ht="15" customHeight="1" thickBot="1" x14ac:dyDescent="0.35">
      <c r="A37" s="32"/>
      <c r="B37" s="33" t="str">
        <f>VLOOKUP(ADDRESS(ROW(),COLUMN(),4),MatrixTexteT3,2,FALSE)</f>
        <v>Descrizione</v>
      </c>
      <c r="C37" s="32"/>
      <c r="D37" s="32"/>
      <c r="E37" s="32"/>
      <c r="F37" s="289" t="str">
        <f>VLOOKUP(ADDRESS(ROW(),COLUMN(),4),MatrixTexteT3,2,FALSE)</f>
        <v>Superficie netto</v>
      </c>
      <c r="G37" s="290"/>
      <c r="H37" s="291" t="str">
        <f>VLOOKUP(ADDRESS(ROW(),COLUMN(),4),MatrixTexteT3,2,FALSE)</f>
        <v>Risultato</v>
      </c>
      <c r="I37" s="292"/>
      <c r="J37" s="289" t="str">
        <f>VLOOKUP(ADDRESS(ROW(),COLUMN(),4),MatrixTexteT3,2,FALSE)</f>
        <v>Superficie netto</v>
      </c>
      <c r="K37" s="290"/>
      <c r="L37" s="291" t="str">
        <f>VLOOKUP(ADDRESS(ROW(),COLUMN(),4),MatrixTexteT3,2,FALSE)</f>
        <v>Risultato</v>
      </c>
      <c r="M37" s="292"/>
      <c r="N37" s="293" t="str">
        <f>VLOOKUP(ADDRESS(ROW(),COLUMN(),4),MatrixTexteT3,2,FALSE)</f>
        <v>Superficie netto</v>
      </c>
      <c r="O37" s="293"/>
      <c r="P37" s="294" t="str">
        <f>VLOOKUP(ADDRESS(ROW(),COLUMN(),4),MatrixTexteT3,2,FALSE)</f>
        <v>Risultato</v>
      </c>
      <c r="Q37" s="295"/>
      <c r="R37" s="98"/>
      <c r="S37" s="234" t="s">
        <v>131</v>
      </c>
      <c r="AJ37" s="234" t="s">
        <v>138</v>
      </c>
      <c r="AK37" s="102"/>
    </row>
    <row r="38" spans="1:37" ht="16.5" customHeight="1" thickTop="1" thickBot="1" x14ac:dyDescent="0.35">
      <c r="A38" s="59"/>
      <c r="B38" s="85" t="str">
        <f>IF(Nutzung&lt;&gt;0,VLOOKUP(ADDRESS(ROW(),COLUMN(),4),MatrixTexteT3,2,FALSE)&amp;" (min. "&amp;TEXT(VLOOKUP(Nutzung,MatrixNutzung,2,FALSE),"0%")&amp;")",VLOOKUP(ADDRESS(ROW(),COLUMN(),4),MatrixTexteT3,2,FALSE))</f>
        <v>Quota d'illuminazione naturale</v>
      </c>
      <c r="C38" s="60"/>
      <c r="D38" s="60"/>
      <c r="E38" s="60"/>
      <c r="F38" s="88">
        <f>S38</f>
        <v>0</v>
      </c>
      <c r="G38" s="85" t="s">
        <v>136</v>
      </c>
      <c r="H38" s="172">
        <f>AJ38</f>
        <v>0</v>
      </c>
      <c r="I38" s="90" t="s">
        <v>138</v>
      </c>
      <c r="J38" s="166"/>
      <c r="K38" s="85" t="s">
        <v>136</v>
      </c>
      <c r="L38" s="166"/>
      <c r="M38" s="90" t="s">
        <v>138</v>
      </c>
      <c r="N38" s="92">
        <f>F38+J38</f>
        <v>0</v>
      </c>
      <c r="O38" s="85" t="s">
        <v>136</v>
      </c>
      <c r="P38" s="100">
        <f>IF(F38=0,0,(F38*H38+J38*L38)/N38)</f>
        <v>0</v>
      </c>
      <c r="Q38" s="85" t="s">
        <v>138</v>
      </c>
      <c r="R38" s="90"/>
      <c r="S38" s="235">
        <f>SUMPRODUCT(S5:S34*H5:H34)</f>
        <v>0</v>
      </c>
      <c r="AJ38" s="237">
        <f>IF(S38=0,0,(SUMPRODUCT(S5:S34*H5:H34*AJ5:AJ34)/S38)*100)</f>
        <v>0</v>
      </c>
      <c r="AK38" s="102"/>
    </row>
    <row r="39" spans="1:37" ht="16.5" customHeight="1" thickTop="1" thickBot="1" x14ac:dyDescent="0.35">
      <c r="A39" s="59"/>
      <c r="B39" s="85" t="str">
        <f>IF(Bauvorhaben&lt;&gt;0,VLOOKUP(ADDRESS(ROW(),COLUMN(),4),MatrixTexteT3,2,FALSE)&amp;" (max. "&amp;TEXT(VLOOKUP(Bauvorhaben,MatrixBauvorhaben,2,FALSE),"0%")&amp;")",VLOOKUP(ADDRESS(ROW(),COLUMN(),4),MatrixTexteT3,2,FALSE))</f>
        <v>Quota di superficie con un risultato insufficiente</v>
      </c>
      <c r="C39" s="60"/>
      <c r="D39" s="60"/>
      <c r="E39" s="60"/>
      <c r="F39" s="89">
        <f>S39</f>
        <v>0</v>
      </c>
      <c r="G39" s="61" t="s">
        <v>136</v>
      </c>
      <c r="H39" s="173">
        <f>IF(F38=0,0,F39/F38*100)</f>
        <v>0</v>
      </c>
      <c r="I39" s="91" t="s">
        <v>138</v>
      </c>
      <c r="J39" s="167"/>
      <c r="K39" s="61" t="s">
        <v>136</v>
      </c>
      <c r="L39" s="99"/>
      <c r="M39" s="91"/>
      <c r="N39" s="93">
        <f>F39+J39</f>
        <v>0</v>
      </c>
      <c r="O39" s="61" t="s">
        <v>136</v>
      </c>
      <c r="P39" s="101">
        <f>IF(F38=0,0,N39/N38*100)</f>
        <v>0</v>
      </c>
      <c r="Q39" s="61" t="s">
        <v>138</v>
      </c>
      <c r="R39" s="91"/>
      <c r="S39" s="236" cm="1">
        <f t="array" ref="S39">IF(AND(Nutzung&lt;&gt;0,SummeRaumflaeche&lt;&gt;0),SUMPRODUCT((AJ5:AJ34&lt;VLOOKUP(Nutzung,MatrixNutzung,2,FALSE))*S5:S34*H5:H34),0)</f>
        <v>0</v>
      </c>
      <c r="AK39" s="102"/>
    </row>
    <row r="40" spans="1:37" ht="25.5" customHeight="1" thickTop="1" thickBot="1" x14ac:dyDescent="0.4">
      <c r="A40" s="183"/>
      <c r="B40" s="184" t="str">
        <f>VLOOKUP(ADDRESS(ROW(),COLUMN(),4),MatrixTexteT3,2,FALSE)</f>
        <v>Le esigenze del complemento ECO</v>
      </c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288" t="str">
        <f>IF(AND(Bauvorhaben&lt;&gt;0,Nutzung&lt;&gt;0),IF(AND((P38/100)&gt;=(VLOOKUP(Nutzung,MatrixNutzung,3,FALSE)),(P39/100)&lt;=(VLOOKUP(Bauvorhaben,MatrixBauvorhaben,2,FALSE))),Texte!$B$219,IF(AND((P38/100)&gt;=(VLOOKUP(Nutzung,MatrixNutzung,2,FALSE)),(P39/100)&lt;=(VLOOKUP(Bauvorhaben,MatrixBauvorhaben,2,FALSE))),Texte!$B$220,Texte!$B$221)),Texte!$B$221)</f>
        <v>non sono soddisfatte</v>
      </c>
      <c r="O40" s="288"/>
      <c r="P40" s="288"/>
      <c r="Q40" s="288"/>
      <c r="R40" s="288"/>
      <c r="S40" s="233"/>
      <c r="AK40" s="102"/>
    </row>
    <row r="41" spans="1:37" ht="12.9" thickTop="1" x14ac:dyDescent="0.3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</row>
    <row r="42" spans="1:37" x14ac:dyDescent="0.3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</row>
  </sheetData>
  <sheetProtection algorithmName="SHA-512" hashValue="mEuBy/jk5OHUXX5jIyRxLcOwvIo4YU+ql1szrbMiLgo2Zp1GGrOEGuoy6GN06B6zQA0Gp+X/BSxycuGlcizJig==" saltValue="xmOVCAUHpqRYx9zST0Q9iQ==" spinCount="100000" sheet="1" objects="1" scenarios="1"/>
  <mergeCells count="12">
    <mergeCell ref="AH3:AJ3"/>
    <mergeCell ref="N40:R40"/>
    <mergeCell ref="D3:I3"/>
    <mergeCell ref="J3:Q3"/>
    <mergeCell ref="X3:AG3"/>
    <mergeCell ref="F37:G37"/>
    <mergeCell ref="H37:I37"/>
    <mergeCell ref="J37:K37"/>
    <mergeCell ref="L37:M37"/>
    <mergeCell ref="N37:O37"/>
    <mergeCell ref="P37:Q37"/>
    <mergeCell ref="S3:W3"/>
  </mergeCells>
  <phoneticPr fontId="0" type="noConversion"/>
  <conditionalFormatting sqref="R5:R34">
    <cfRule type="expression" dxfId="10" priority="14" stopIfTrue="1">
      <formula>$AJ5=0</formula>
    </cfRule>
    <cfRule type="expression" dxfId="9" priority="15" stopIfTrue="1">
      <formula>$AJ5&lt;Befriedigend</formula>
    </cfRule>
    <cfRule type="expression" dxfId="8" priority="16" stopIfTrue="1">
      <formula>$AJ5&gt;Gut</formula>
    </cfRule>
    <cfRule type="expression" dxfId="7" priority="17" stopIfTrue="1">
      <formula>AND($AJ5&gt;=Befriedigend,$AJ5&lt;Gut)</formula>
    </cfRule>
  </conditionalFormatting>
  <dataValidations xWindow="514" yWindow="461" count="481"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34" xr:uid="{00000000-0002-0000-0200-000000000000}">
      <formula1>ListWindow</formula1>
    </dataValidation>
    <dataValidation allowBlank="1" showInputMessage="1" showErrorMessage="1" errorTitle="Errore" error="Inserisci solo testo in questo campo." promptTitle="Locale tipo" prompt="Immettere qui il nome del locale. I locali secondari non devono essere registrati." sqref="B34" xr:uid="{00000000-0002-0000-0200-000001000000}"/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34" xr:uid="{00000000-0002-0000-0200-000002000000}">
      <formula1>ListBeleuchtung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34" xr:uid="{00000000-0002-0000-0200-000003000000}">
      <formula1>ListRaumReflex</formula1>
    </dataValidation>
    <dataValidation allowBlank="1" showInputMessage="1" sqref="R5:R34" xr:uid="{00000000-0002-0000-0200-000004000000}"/>
    <dataValidation type="whole" allowBlank="1" showInputMessage="1" showErrorMessage="1" errorTitle="Errore" error="È necessario immettere valori interi compresi tra 0 e 999." promptTitle="Numero" prompt="Immettere il numero totale di questo tipo di finestra." sqref="Q34" xr:uid="{00000000-0002-0000-0200-000005000000}">
      <formula1>0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34" xr:uid="{00000000-0002-0000-0200-000006000000}">
      <formula1>-99</formula1>
      <formula2>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34" xr:uid="{00000000-0002-0000-0200-000007000000}">
      <formula1>0</formula1>
      <formula2>99999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34" xr:uid="{00000000-0002-0000-0200-000008000000}">
      <formula1>0</formula1>
      <formula2>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34" xr:uid="{00000000-0002-0000-0200-000009000000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34" xr:uid="{00000000-0002-0000-0200-00000A000000}">
      <formula1>0</formula1>
      <formula2>999</formula2>
    </dataValidation>
    <dataValidation allowBlank="1" showInputMessage="1" showErrorMessage="1" errorTitle="Errore" error="Inserisci solo testo in questo campo." promptTitle="Locale tipo" prompt="Immettere qui il nome del locale. I locali secondari non devono essere registrati." sqref="B5" xr:uid="{B61EA92B-39EC-4F02-B8D7-E310ABF2B359}"/>
    <dataValidation allowBlank="1" showInputMessage="1" showErrorMessage="1" errorTitle="Errore" error="Inserisci solo testo in questo campo." promptTitle="Locale tipo" prompt="Immettere qui il nome del locale. I locali secondari non devono essere registrati." sqref="B6" xr:uid="{3E272978-601E-4856-BBED-5EEFB858DBD2}"/>
    <dataValidation allowBlank="1" showInputMessage="1" showErrorMessage="1" errorTitle="Errore" error="Inserisci solo testo in questo campo." promptTitle="Locale tipo" prompt="Immettere qui il nome del locale. I locali secondari non devono essere registrati." sqref="B7" xr:uid="{B40C1074-E56B-4515-8E63-528C46574497}"/>
    <dataValidation allowBlank="1" showInputMessage="1" showErrorMessage="1" errorTitle="Errore" error="Inserisci solo testo in questo campo." promptTitle="Locale tipo" prompt="Immettere qui il nome del locale. I locali secondari non devono essere registrati." sqref="B8" xr:uid="{9CE0D490-98AA-441A-8719-4A3E320D0C38}"/>
    <dataValidation allowBlank="1" showInputMessage="1" showErrorMessage="1" errorTitle="Errore" error="Inserisci solo testo in questo campo." promptTitle="Locale tipo" prompt="Immettere qui il nome del locale. I locali secondari non devono essere registrati." sqref="B9" xr:uid="{818F03AD-7908-43F1-862D-685A3432C4B6}"/>
    <dataValidation allowBlank="1" showInputMessage="1" showErrorMessage="1" errorTitle="Errore" error="Inserisci solo testo in questo campo." promptTitle="Locale tipo" prompt="Immettere qui il nome del locale. I locali secondari non devono essere registrati." sqref="B10" xr:uid="{DA4AA8A9-8132-4283-81CE-35CF96EAB4B3}"/>
    <dataValidation allowBlank="1" showInputMessage="1" showErrorMessage="1" errorTitle="Errore" error="Inserisci solo testo in questo campo." promptTitle="Locale tipo" prompt="Immettere qui il nome del locale. I locali secondari non devono essere registrati." sqref="B11" xr:uid="{3FD47608-D7A2-4FC8-A08E-186756740CE8}"/>
    <dataValidation allowBlank="1" showInputMessage="1" showErrorMessage="1" errorTitle="Errore" error="Inserisci solo testo in questo campo." promptTitle="Locale tipo" prompt="Immettere qui il nome del locale. I locali secondari non devono essere registrati." sqref="B12" xr:uid="{46A163D8-75EF-41DD-8097-3813AAD6BC3C}"/>
    <dataValidation allowBlank="1" showInputMessage="1" showErrorMessage="1" errorTitle="Errore" error="Inserisci solo testo in questo campo." promptTitle="Locale tipo" prompt="Immettere qui il nome del locale. I locali secondari non devono essere registrati." sqref="B13" xr:uid="{3D8C1EE6-7441-4E31-8E11-28CCB05EEEAC}"/>
    <dataValidation allowBlank="1" showInputMessage="1" showErrorMessage="1" errorTitle="Errore" error="Inserisci solo testo in questo campo." promptTitle="Locale tipo" prompt="Immettere qui il nome del locale. I locali secondari non devono essere registrati." sqref="B14" xr:uid="{9672C90D-B5C2-4D83-A351-F4B58DF00EB6}"/>
    <dataValidation allowBlank="1" showInputMessage="1" showErrorMessage="1" errorTitle="Errore" error="Inserisci solo testo in questo campo." promptTitle="Locale tipo" prompt="Immettere qui il nome del locale. I locali secondari non devono essere registrati." sqref="B15" xr:uid="{C06C77B7-F7CF-46B1-9CF9-E08AA56BA5BC}"/>
    <dataValidation allowBlank="1" showInputMessage="1" showErrorMessage="1" errorTitle="Errore" error="Inserisci solo testo in questo campo." promptTitle="Locale tipo" prompt="Immettere qui il nome del locale. I locali secondari non devono essere registrati." sqref="B16" xr:uid="{ADE7C971-8741-4B0B-9AE5-0C6E254863A6}"/>
    <dataValidation allowBlank="1" showInputMessage="1" showErrorMessage="1" errorTitle="Errore" error="Inserisci solo testo in questo campo." promptTitle="Locale tipo" prompt="Immettere qui il nome del locale. I locali secondari non devono essere registrati." sqref="B17" xr:uid="{8F3D83F4-37FA-440D-85DF-99F2B65D6C80}"/>
    <dataValidation allowBlank="1" showInputMessage="1" showErrorMessage="1" errorTitle="Errore" error="Inserisci solo testo in questo campo." promptTitle="Locale tipo" prompt="Immettere qui il nome del locale. I locali secondari non devono essere registrati." sqref="B18" xr:uid="{4594C7B4-A6D3-4C7F-BDAB-22BA3CE33AD9}"/>
    <dataValidation allowBlank="1" showInputMessage="1" showErrorMessage="1" errorTitle="Errore" error="Inserisci solo testo in questo campo." promptTitle="Locale tipo" prompt="Immettere qui il nome del locale. I locali secondari non devono essere registrati." sqref="B19" xr:uid="{33B97C04-34E8-4575-A6E0-2C5C1D340ED4}"/>
    <dataValidation allowBlank="1" showInputMessage="1" showErrorMessage="1" errorTitle="Errore" error="Inserisci solo testo in questo campo." promptTitle="Locale tipo" prompt="Immettere qui il nome del locale. I locali secondari non devono essere registrati." sqref="B20" xr:uid="{A3427666-D6A5-423E-B255-8CCF7760CAFB}"/>
    <dataValidation allowBlank="1" showInputMessage="1" showErrorMessage="1" errorTitle="Errore" error="Inserisci solo testo in questo campo." promptTitle="Locale tipo" prompt="Immettere qui il nome del locale. I locali secondari non devono essere registrati." sqref="B21" xr:uid="{0EDFE69F-643C-4F30-A93A-DC6A53CB59C3}"/>
    <dataValidation allowBlank="1" showInputMessage="1" showErrorMessage="1" errorTitle="Errore" error="Inserisci solo testo in questo campo." promptTitle="Locale tipo" prompt="Immettere qui il nome del locale. I locali secondari non devono essere registrati." sqref="B22" xr:uid="{FA046162-423A-4E5E-ACC0-E4651547ED3B}"/>
    <dataValidation allowBlank="1" showInputMessage="1" showErrorMessage="1" errorTitle="Errore" error="Inserisci solo testo in questo campo." promptTitle="Locale tipo" prompt="Immettere qui il nome del locale. I locali secondari non devono essere registrati." sqref="B23" xr:uid="{713EF367-6955-4106-92A9-738A63CFD941}"/>
    <dataValidation allowBlank="1" showInputMessage="1" showErrorMessage="1" errorTitle="Errore" error="Inserisci solo testo in questo campo." promptTitle="Locale tipo" prompt="Immettere qui il nome del locale. I locali secondari non devono essere registrati." sqref="B24" xr:uid="{CCD35DD1-B351-49BF-88B2-C3686769615E}"/>
    <dataValidation allowBlank="1" showInputMessage="1" showErrorMessage="1" errorTitle="Errore" error="Inserisci solo testo in questo campo." promptTitle="Locale tipo" prompt="Immettere qui il nome del locale. I locali secondari non devono essere registrati." sqref="B25" xr:uid="{B42E25A2-687E-4E9D-89C3-75E82D283004}"/>
    <dataValidation allowBlank="1" showInputMessage="1" showErrorMessage="1" errorTitle="Errore" error="Inserisci solo testo in questo campo." promptTitle="Locale tipo" prompt="Immettere qui il nome del locale. I locali secondari non devono essere registrati." sqref="B26" xr:uid="{C945B522-65B6-4661-A7B2-5CFA84E7FA61}"/>
    <dataValidation allowBlank="1" showInputMessage="1" showErrorMessage="1" errorTitle="Errore" error="Inserisci solo testo in questo campo." promptTitle="Locale tipo" prompt="Immettere qui il nome del locale. I locali secondari non devono essere registrati." sqref="B27" xr:uid="{41007346-B0AE-4016-8E07-61A0FB5DF40D}"/>
    <dataValidation allowBlank="1" showInputMessage="1" showErrorMessage="1" errorTitle="Errore" error="Inserisci solo testo in questo campo." promptTitle="Locale tipo" prompt="Immettere qui il nome del locale. I locali secondari non devono essere registrati." sqref="B28" xr:uid="{6105F6C5-C413-4AFE-B464-52DD6DEC468C}"/>
    <dataValidation allowBlank="1" showInputMessage="1" showErrorMessage="1" errorTitle="Errore" error="Inserisci solo testo in questo campo." promptTitle="Locale tipo" prompt="Immettere qui il nome del locale. I locali secondari non devono essere registrati." sqref="B29" xr:uid="{7F0CA302-25EA-4AF5-B550-377F5C9D21C6}"/>
    <dataValidation allowBlank="1" showInputMessage="1" showErrorMessage="1" errorTitle="Errore" error="Inserisci solo testo in questo campo." promptTitle="Locale tipo" prompt="Immettere qui il nome del locale. I locali secondari non devono essere registrati." sqref="B30" xr:uid="{99BA4A84-5E58-4AFC-8A66-12B0F5ECE536}"/>
    <dataValidation allowBlank="1" showInputMessage="1" showErrorMessage="1" errorTitle="Errore" error="Inserisci solo testo in questo campo." promptTitle="Locale tipo" prompt="Immettere qui il nome del locale. I locali secondari non devono essere registrati." sqref="B31" xr:uid="{871FEFFE-5395-4129-A33E-01D9FD18990E}"/>
    <dataValidation allowBlank="1" showInputMessage="1" showErrorMessage="1" errorTitle="Errore" error="Inserisci solo testo in questo campo." promptTitle="Locale tipo" prompt="Immettere qui il nome del locale. I locali secondari non devono essere registrati." sqref="B32" xr:uid="{EF3776F5-5DD6-4EAC-A2A1-29675A5ECE73}"/>
    <dataValidation allowBlank="1" showInputMessage="1" showErrorMessage="1" errorTitle="Errore" error="Inserisci solo testo in questo campo." promptTitle="Locale tipo" prompt="Immettere qui il nome del locale. I locali secondari non devono essere registrati." sqref="B33" xr:uid="{0159C27E-B6B8-48E6-AED7-0DA7FF066F85}"/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5" xr:uid="{6A88CE3D-6839-4034-8A4D-96D7DDA34B6B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6" xr:uid="{AD28914C-BB82-48BC-B447-55295B85C684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7" xr:uid="{DD10EFE4-6E37-41A5-BC38-17D297743B96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8" xr:uid="{15975659-9002-43C9-8669-68F32A38A432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9" xr:uid="{BEA4A317-5E03-447E-A41B-482019DFC43B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0" xr:uid="{16E84F58-211F-4C8D-A9DA-EE0CC5F76DC7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1" xr:uid="{3C4AFCBD-1886-4B89-A413-BF927F958374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2" xr:uid="{77041D72-0232-468E-805C-E8B157F3AADD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3" xr:uid="{512101F9-A316-4454-AE1F-BC9ACB0A153B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4" xr:uid="{78566113-273A-4AF5-A9B1-2D564AEF1E6E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5" xr:uid="{25E6A4F7-2935-43AE-8F54-46D125E1B6DF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6" xr:uid="{6BF485BE-2D35-4E22-9EEA-7F23940ED55C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7" xr:uid="{951281B1-D1AE-46FE-8D67-CD047717EC87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8" xr:uid="{BF6A4FFC-2E76-4AB5-ADC7-78B6B74EE7FF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19" xr:uid="{F6A6E74C-6C4D-48F1-8468-DE88D43DF1D5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0" xr:uid="{459DCD06-3C5B-4DDD-8DA6-FEAB202809EA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1" xr:uid="{99FE2898-D3FA-42E2-BD82-7501D4201479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2" xr:uid="{763C3784-0B58-41EC-BE85-DB5FE9743EE4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3" xr:uid="{778F598A-66C5-4C00-A071-5902287539BC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4" xr:uid="{8B88C87C-2426-4916-8AE9-D9BE9B507B4B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5" xr:uid="{82E69F32-695B-4335-AB5A-2EC65A70804A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6" xr:uid="{DBE10599-3905-4F15-9B79-5FE4F1188A6E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7" xr:uid="{6C7DB36A-DF92-4E9D-89E2-C88D63A55A9F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8" xr:uid="{22A0B36E-DAB2-4826-A65D-CD3E3E8B00FA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29" xr:uid="{D7C44391-5849-4D10-8327-77EE9483FEA7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30" xr:uid="{BE6C8F66-EA39-4DA9-93DA-CE55A1FDB0F8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31" xr:uid="{5C996540-6826-4177-A46D-2E37A87B8A0B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32" xr:uid="{E943A1FD-B110-4FC4-B084-2208FE0C424F}">
      <formula1>ListBeleuchtung</formula1>
    </dataValidation>
    <dataValidation type="list" allowBlank="1" showInputMessage="1" showErrorMessage="1" errorTitle="Errore" error="È necessario selezionare una voce dall' elenco." promptTitle="Uso principale" prompt="Selezionare una voce dall' elenco che meglio corrisponde all' utilizzo della stanza. I locali secondari non devono essere registrati." sqref="C33" xr:uid="{22755808-C5DD-46C0-95E5-EA567EC4C9A7}">
      <formula1>ListBeleuchtung</formula1>
    </dataValidation>
    <dataValidation type="decimal" allowBlank="1" showInputMessage="1" showErrorMessage="1" errorTitle="Errore" error="È necessario immettere valori compresi tra 0 e 999." promptTitle="Larghezza" prompt="Immettere le dimensioni del locale." sqref="D5" xr:uid="{C983BAF9-9C7C-4A1F-9CDB-03C81AF7CC9B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6" xr:uid="{ECE88767-7E8D-4128-ADF4-73A93343555B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7" xr:uid="{FD36ADF4-B3C1-49AE-803E-86998954E8F2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8" xr:uid="{BB6C1E02-B685-41CD-8C35-D0F8D4A249FE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9" xr:uid="{C8176F57-1568-4F19-A29C-721743F3AE3E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0" xr:uid="{BD2124DC-8C52-48A6-A716-DA16E56833D6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1" xr:uid="{05440E5E-C7C6-40BB-BDE8-4F37AA5B91D8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2" xr:uid="{CD2109C4-DFEA-4D52-87E9-D7F732AC80FE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3" xr:uid="{C893182E-A2CE-43FE-9D83-78B23DB7630E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4" xr:uid="{B41C5F8B-5D7E-4AE4-93AC-0DB919CE13A5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5" xr:uid="{208A9182-F2BF-454C-A047-F0FFC10D68A8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6" xr:uid="{A6140E49-0C6E-4FC0-9EC2-11C6C9D6F6BD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7" xr:uid="{A05B51CF-60FB-4874-B4E3-26ABC307986D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8" xr:uid="{6BDAB042-C882-4927-8BC5-39E8D4903524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19" xr:uid="{6CD0886A-D308-4420-8E46-847D5B43CFFB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0" xr:uid="{3EA9E0E5-AD8F-4C88-BBA4-9C8133FCD185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1" xr:uid="{775E9396-EFA2-45F3-8057-5AB42595981D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2" xr:uid="{F6A200EA-E119-4C4D-9FE3-EEE44B5835BC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3" xr:uid="{F0EC30F0-CF51-4310-985A-D4AF88FD59F6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4" xr:uid="{F93899F4-3ADB-4714-8B6C-B3F6F0D77C43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5" xr:uid="{770C816B-F6A0-4363-AE00-F2D162447ABC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6" xr:uid="{C24D16DD-C08C-425C-9A1D-714C1C675112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7" xr:uid="{901214AE-8159-4774-AE5A-CBE5DC9EF8E1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8" xr:uid="{981053D9-4F37-4E9A-9DE9-1F692258A38F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29" xr:uid="{8A45F194-7B8D-47EB-9E7F-0217AF230781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30" xr:uid="{672EEA94-AEF4-44AE-8903-AFD32BF38D38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31" xr:uid="{D0C07F36-0F63-46E7-8551-D926854220B7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32" xr:uid="{0DA97C01-763C-48D1-80D4-A871F30C4619}">
      <formula1>0</formula1>
      <formula2>999</formula2>
    </dataValidation>
    <dataValidation type="decimal" allowBlank="1" showInputMessage="1" showErrorMessage="1" errorTitle="Errore" error="È necessario immettere valori compresi tra 0 e 999." promptTitle="Larghezza" prompt="Immettere le dimensioni del locale." sqref="D33" xr:uid="{9F34497F-5CC7-4F57-893D-5875299D05FA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5" xr:uid="{0A6A628A-4BD7-40D5-B2E3-DE86E28484C3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6" xr:uid="{DBBB1161-7F50-4EB1-B31C-FCDCFB545CA0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7" xr:uid="{EAF535AB-06CB-4B0E-85D1-F477B91EB5FD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8" xr:uid="{883B8163-4F76-4462-B25E-1C3D89C9F7B7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9" xr:uid="{3D2B374B-BB7A-4138-A316-2204054E06D3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0" xr:uid="{B50A6CBE-EA42-41B3-A8DD-FC1C88632BD7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1" xr:uid="{8A28F5F2-D34E-455F-889D-9D7CCC7427A9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2" xr:uid="{36601692-70AA-4B19-8A81-4093144DD0DF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3" xr:uid="{B43FB15F-409B-43C6-84D1-B22AA831D36C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4" xr:uid="{493FBE6C-A2AD-43BD-BDD4-2A32AE841DD3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5" xr:uid="{3FB3A3CF-3A51-4FA1-83CC-33E2DEBC54CB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6" xr:uid="{568A68B9-AA85-4685-9545-6B8C5AD106DC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7" xr:uid="{42877440-D9F8-476B-B0F1-C1B5A5A1DD81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8" xr:uid="{BE02CFF2-AF68-43E1-B50A-FC97AAF28A14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19" xr:uid="{1D82F75D-8FBE-449F-B30F-51CB64878C30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0" xr:uid="{FDE5C55A-FF91-43F5-A274-A43AA54D47FE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1" xr:uid="{FCB35B8D-AA41-4CC5-A6BB-10320B39B3A9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2" xr:uid="{F95241AA-74B2-4C58-A9BF-B0CCEA258285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3" xr:uid="{2CA89CBD-9E2A-4821-AA5E-DB4481D3A776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4" xr:uid="{01148809-2309-4DFF-89BB-D85D20B74C94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5" xr:uid="{E7511F94-D1F2-4181-9377-93F98EB9AA69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6" xr:uid="{6CE8D251-2C6C-4B0E-843C-C3C3ADB9964B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7" xr:uid="{D2F2AD80-F646-471D-A91B-F6C4D5B6C758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8" xr:uid="{939D1619-2420-4498-AD42-B36589A9DA39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29" xr:uid="{8EFE4CAD-1A61-443D-94DA-B04F30ACED38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30" xr:uid="{2CDE5631-D569-4F5E-A9AF-639CFAA83E1C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31" xr:uid="{C2EB01ED-321B-4787-A8DF-14DF77B3A32C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32" xr:uid="{1C50CF4B-E8C8-4F2D-99A2-0342BF914115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" prompt="Immettere le dimensioni del locale." sqref="E33" xr:uid="{D38314C3-B3C4-4B61-90BD-1411C522C4B0}">
      <formula1>0</formula1>
      <formula2>999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5" xr:uid="{DEAD56BA-C3B9-4363-BCE7-947B36B60E77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6" xr:uid="{2D7FC63D-7665-445E-A69E-AA79F1F4D1D7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7" xr:uid="{58121C52-B025-41C6-A916-446CA0E81BB2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8" xr:uid="{E227355F-880E-4D9B-9054-501D30AB299D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9" xr:uid="{92EE94C1-941E-40F0-A6F1-164094F7BD18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0" xr:uid="{45D9FD80-EF91-4109-B223-8DD41D5B0777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1" xr:uid="{370D7792-EE60-4706-AD66-63954C801C04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2" xr:uid="{FC2B4F42-80E2-40EA-9253-779E9204AF60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3" xr:uid="{5A594AEA-A25E-46EB-AAE6-4243324493A0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4" xr:uid="{28E9BCF9-0F2C-4C7D-A3DD-08163A17189C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5" xr:uid="{2B18D102-3E47-4992-A1A7-599220F17E72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6" xr:uid="{842B7FA1-0432-4704-91F0-F500F3344E0A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7" xr:uid="{0CFE0907-4EF7-4611-A22C-4BEF8F20CCB7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8" xr:uid="{0B315BA4-63C4-4E7A-81CC-57AC1E6427ED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19" xr:uid="{7E1DFD0E-1EBC-4089-8677-92C0377FBEFD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0" xr:uid="{6B0A7BF4-4721-4D3E-84F1-6047E9E97CB1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1" xr:uid="{4ED71BFF-B859-47DB-B101-14924FFCF710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2" xr:uid="{E8F8D6B4-FC33-4D1E-B8D1-4B6BE9F2FB4D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3" xr:uid="{A26F6FB2-EC91-46A5-BE58-341FAA849E59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4" xr:uid="{31C0A5DD-B913-414C-871A-5292F989A5DF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5" xr:uid="{8F7159A6-6B62-46BF-B3C1-CCDFB61F5B41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6" xr:uid="{DB2CE751-429A-4880-9786-9460B0B9858C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7" xr:uid="{B8D5FE1B-5E68-4547-B800-330E591376EF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8" xr:uid="{D90B7C42-ED10-4FD1-8B90-F6311D914DB7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29" xr:uid="{FF92E21E-BC7C-43CB-BD66-57AD852FA996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30" xr:uid="{B3DD4127-5F03-4FF9-9F67-798FFDC25973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31" xr:uid="{6CFEA2CF-360B-4212-8127-102401FA9D8B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32" xr:uid="{9FEAF05B-CBE7-48EF-9346-E7522F2B7D1C}">
      <formula1>0</formula1>
      <formula2>99</formula2>
    </dataValidation>
    <dataValidation type="decimal" allowBlank="1" showInputMessage="1" showErrorMessage="1" errorTitle="Errore" error="È necessario immettere valori compresi tra 0 e 99." promptTitle="Altezza" prompt="Immettere l' altezza in luce. Se il locale ha altezze diverse, inserire l'altezza media o inserire le aree separatamente." sqref="F33" xr:uid="{B6778C2F-9CFA-4F9F-BE83-BAFF699AEA47}">
      <formula1>0</formula1>
      <formula2>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5" xr:uid="{7A28DB42-34AE-4728-9DBC-2AE663C80840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6" xr:uid="{41DE6FC0-D91F-49F8-B5C7-0C3443880649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7" xr:uid="{30B28DC8-6BB1-4137-B9DA-A3FDD44F0B04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8" xr:uid="{8DCADE45-D1BB-4760-96D4-2DA59C9B7291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9" xr:uid="{EBCBBC76-DB90-4732-94F1-DEC07D68B51B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0" xr:uid="{6D60F656-29C4-4F75-961F-D596B4EE4237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1" xr:uid="{1637532F-E376-429F-B44A-C2D4C619B1E6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2" xr:uid="{AAFE7838-EC56-4C8A-A2D7-651976FB5AF1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3" xr:uid="{78460ED7-911F-454B-AA1D-4AEDC0B96A4A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4" xr:uid="{3E46C675-7CF4-4700-994A-030717D5D2A1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5" xr:uid="{9C23E543-6081-48AC-BFA1-23E1AAA95E7D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6" xr:uid="{57E8583F-88AE-4C80-81A3-CF76F3852806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7" xr:uid="{34C1090A-B7D1-4A5E-9CE9-16E3EEFDC943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8" xr:uid="{EF8A9EA7-D345-412E-B278-782C848F57E9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19" xr:uid="{B3E79251-3BFA-4DB4-8C8C-6AA44853DDA1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0" xr:uid="{F0674155-9D91-4EFF-A1BB-C9BE7F18DB11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1" xr:uid="{27F1EA4D-2D17-4767-8678-336A4ACAA157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2" xr:uid="{7438661C-C294-49D4-BFD5-247F20965BBF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3" xr:uid="{EBD59951-017B-4F58-95BC-9B2B7A2254E0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4" xr:uid="{122C08A9-253B-4F37-9BAD-ABB02A164ADB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5" xr:uid="{9260F3B7-C0E7-4E6B-BE74-DE5102339094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6" xr:uid="{93ED2450-BED1-4BED-A5DC-75BD9840A537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7" xr:uid="{54E5E58B-009F-42EE-83C4-3C76FF61B216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8" xr:uid="{0A720077-A8FE-489F-B864-C095D9B71A79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29" xr:uid="{FA95C35C-C74D-4D00-9271-6D3D15EEE014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30" xr:uid="{49E763D5-5C29-449F-879C-764690556A8B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31" xr:uid="{C5BC6E7B-36EB-4303-9530-64B5E5BABF38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32" xr:uid="{27681D21-B332-482C-8825-5C5B59581D4D}">
      <formula1>0</formula1>
      <formula2>99999</formula2>
    </dataValidation>
    <dataValidation type="decimal" allowBlank="1" showInputMessage="1" showErrorMessage="1" errorTitle="Errore" error="È necessario immettere valori compresi tra 0 e 9999." promptTitle="Superficie" prompt="Se l' area non corrisponde alla moltiplicazione tra la larghezza e la profondità, inserirla qui, altrimenti lasciare in bianco." sqref="G33" xr:uid="{5FA4E015-7FD4-4DAC-A954-98552E40A960}">
      <formula1>0</formula1>
      <formula2>99999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5" xr:uid="{C07BF77A-5D53-45A1-A4C5-CA665C1BBE3B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6" xr:uid="{C1CF22A8-2324-46BF-AE76-6159E5B4392C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7" xr:uid="{B468F89F-5C78-4DA5-B96D-86ABA496CB08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8" xr:uid="{C38C0EBB-A936-4EDB-B9C3-E02141FA05B8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9" xr:uid="{7B2FD9D5-03DC-4763-A1F3-EEC3C1BABBDD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0" xr:uid="{AE7F124E-C25F-4D02-AF5E-41ACE21F1473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1" xr:uid="{8E73C87C-6F51-42F7-8564-19695351C80A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2" xr:uid="{A40078FB-A56A-46DD-9283-F8643A384781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3" xr:uid="{B51DA69E-5D81-482F-A4CB-53DC916D2BA1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4" xr:uid="{BDC42454-07B1-452C-AC2F-6A60B0626B42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5" xr:uid="{08E91259-DAFF-4693-83AE-46611DEB32F8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6" xr:uid="{CBB5D0BA-3057-4F49-A597-9369B009B1CA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7" xr:uid="{F008E7B5-BF5F-40E7-814F-C5DA4A440D11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8" xr:uid="{57DED854-2543-41D0-B8E6-9459CC71C700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19" xr:uid="{9CEE478B-410E-4829-BD4C-C334110D1AF1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0" xr:uid="{71455BFD-E8C8-4E1B-9AD1-F8BEAE0851A2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1" xr:uid="{89F86A61-4148-49AC-A5EC-90896C7C596B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2" xr:uid="{5C581C39-E920-433F-8EB0-FF79AC694921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3" xr:uid="{6A606038-A1A2-4C25-97CE-BB297727DBA8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4" xr:uid="{38E8412D-E2D6-4E27-865F-1D665AC7A178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5" xr:uid="{2B6C09F8-5EE1-49F8-BB97-3817DD669621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6" xr:uid="{C7D4E780-CBD3-46B6-8C83-2BA5BA47106F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7" xr:uid="{D1E1A298-DAC5-471E-B365-6085708D3E0C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8" xr:uid="{5CE58EC9-3C44-4C2D-B561-0EF01B9830EF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29" xr:uid="{DCEA965B-4658-4D0A-8063-4B9C9B0DC322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30" xr:uid="{D7797E84-3F73-48A1-83A1-1EB7BEC43E23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31" xr:uid="{B1CA538A-6E73-4DDC-AC0D-CC3C52195855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32" xr:uid="{A7C59495-1C51-4913-A457-A41106442D91}">
      <formula1>-99</formula1>
      <formula2>999</formula2>
    </dataValidation>
    <dataValidation type="decimal" allowBlank="1" showInputMessage="1" showErrorMessage="1" errorTitle="Errore" error="È necessario immettere valori compresi tra -99 e 999." promptTitle="Numero" prompt="Immettere il numero totale di questo tipo di locale nell' edificio." sqref="H33" xr:uid="{1870688B-B908-4FBA-8C25-326F04490DC2}">
      <formula1>-99</formula1>
      <formula2>999</formula2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5" xr:uid="{90CF807C-F535-45FB-AEDA-7DD971F78C00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6" xr:uid="{51463025-BCB6-4B18-B9D6-C5DC39A72CDC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7" xr:uid="{B9B3AAF2-6808-43AD-A1F8-07BB0B52748D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8" xr:uid="{47BD831F-AE57-493A-9D78-A4AB1E3CB2A0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9" xr:uid="{ABA825A5-272A-47A7-A965-886F14CBE63B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0" xr:uid="{324829F0-5D74-453E-8B21-88E3E416CA76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1" xr:uid="{9C3AF1B5-A961-4C6B-8EB6-A5FC2A218068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2" xr:uid="{AA0804F8-F905-4004-8992-C31CD1B09C4B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3" xr:uid="{A0EE28EB-925A-42D1-B455-8158DCCCBCB7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4" xr:uid="{D442290C-7583-464E-9C83-E555283E7A36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5" xr:uid="{3AD69F3D-E8B3-4AC4-9321-0B4CD41783E2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6" xr:uid="{5E8CCA4D-93E6-4134-BF10-00FF613E197C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7" xr:uid="{FCC6A2A4-E811-45EA-918D-DCD3DE4B79C0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8" xr:uid="{7D76BDEB-3477-450E-9DDA-FA463F689265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19" xr:uid="{A872EC07-A150-4E36-870D-9E82556DAB37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0" xr:uid="{27DB9628-6D53-40BC-8094-289E53725BEA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1" xr:uid="{CE243A1B-0468-4371-89F8-28275BC54ED6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2" xr:uid="{4AC7A7E2-91CF-4642-9918-408697E0D902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3" xr:uid="{F77B8FC3-CE43-4566-AF80-E8C100DC2B25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4" xr:uid="{4B8697A9-A6A4-4E59-B0D9-3ED892A0837A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5" xr:uid="{CD0C2E4C-C75E-4CD4-AF12-EA3F3C8BE82D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6" xr:uid="{FAE5A6CB-E117-449E-A128-AE9F97631C12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7" xr:uid="{B7ED5D4E-5BDE-4EEC-A769-9CF0CC7FD63D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8" xr:uid="{A0AC6BA0-5C13-4253-B874-E05E2E573A49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29" xr:uid="{03B08ED7-C008-499E-A220-DC2F9A5FCE05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30" xr:uid="{B1D601D3-0356-4277-92FC-B1B3A751FF6D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31" xr:uid="{041B6257-9160-47E3-B0F9-7C2F70821F2A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32" xr:uid="{85C5D663-427B-4B1C-9B3E-7FCC4538939D}">
      <formula1>ListRaumReflex</formula1>
    </dataValidation>
    <dataValidation type="list" allowBlank="1" showInputMessage="1" showErrorMessage="1" errorTitle="Errore" error="È necessario selezionare una voce dall' elenco." promptTitle="Riflessione della stanza" prompt="Selezionare una voce dall' elenco." sqref="I33" xr:uid="{45991187-8A51-4CD5-8A7E-60D70D1E890C}">
      <formula1>ListRaumReflex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5" xr:uid="{59C7E3E6-B437-4D07-AF42-77B147FB277A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6" xr:uid="{CFA542BB-8245-4AA5-8A2A-F3D169AB94F7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7" xr:uid="{F0FE1E99-D517-4AEA-8BCC-FAD06BC3D6C4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8" xr:uid="{AFB67600-DAB2-4991-A97B-4A3A8E28214A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9" xr:uid="{CCEE6F90-974F-4E91-BD8E-72EBA1A51AE6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0" xr:uid="{EDB49386-8464-42E8-824D-22AEBA6CD5BF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1" xr:uid="{4558FE8F-5F1C-47AE-84A3-986A96972B7F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2" xr:uid="{8B48996D-7CBB-4D72-8C32-71D4C1349C7E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3" xr:uid="{2568FA7E-BFA0-4821-B583-DEB752E04E10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4" xr:uid="{946BA209-FF66-44F2-B10F-3CFCAD34AC52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5" xr:uid="{770F4926-7033-468B-A642-3D2A0BF0A43A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6" xr:uid="{0FF8D555-582C-4B0B-85F5-E89849417AFE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7" xr:uid="{04E209BB-EFF9-42B8-A3CE-136271717E50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8" xr:uid="{27D483E4-EFDC-4FBE-89C0-D7B100A95530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19" xr:uid="{954FCDBE-924E-4876-9B79-4E910FB9FF9D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0" xr:uid="{610A2547-D6F6-45CE-B5E0-0DF96E075120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1" xr:uid="{3132EB32-0BC9-4DBB-8A01-5D575332E3F1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2" xr:uid="{8DA2760D-C1E1-42FF-BD90-155EBDC2097A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3" xr:uid="{B7E40A90-E2E0-46CB-BE7A-CAD7EE950D4F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4" xr:uid="{1ACCB80B-020C-4EAD-8008-4FF815672039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5" xr:uid="{C9BD6717-08FF-4E1F-8A11-BCED4E00BFC1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6" xr:uid="{F9739407-F7B0-4C45-9653-A239614F8EBF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7" xr:uid="{4BC811F7-3A35-4953-BB25-2CD8F129DE81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8" xr:uid="{EB1B9FB0-2466-4996-9C13-2C8B3551A1BC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29" xr:uid="{B739E315-FFDA-414E-9A73-3AC752DD95C9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30" xr:uid="{A9992BC6-120B-4B44-82F7-A31807B6D757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31" xr:uid="{8A86E6EB-9EF8-47AC-A432-9828165BF97D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32" xr:uid="{5E4C29EA-9DAD-4E6A-98EF-352F1F3A39F4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33" xr:uid="{5A175722-348C-4E60-BA23-3E48AF418395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J34" xr:uid="{98A497FF-4A37-4B95-8E0F-83A5A399431C}">
      <formula1>ListWindow</formula1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5" xr:uid="{C9D60501-4C95-4ED1-A38F-F20C4305D310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6" xr:uid="{E68B9CB2-9E03-44A2-BCFE-7E10EAE91A85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7" xr:uid="{68478BE3-4C58-45BF-B785-C3086D337753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8" xr:uid="{E6AB85EB-4189-428C-8BDD-0110509237C9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9" xr:uid="{3B506B76-A9D4-4281-A75E-7B797C17AE30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0" xr:uid="{67F6304E-1F9E-4C47-90E0-19A1D8C58B33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1" xr:uid="{3AAE3680-BE0F-4912-8273-A9ACC2F976B8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2" xr:uid="{11F25699-BB50-4CA8-AF5A-D0F9BC7401BA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3" xr:uid="{DB387436-3DCF-46E4-9724-C88E88F7F62F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4" xr:uid="{CAA98A58-7EB9-419A-8882-933D6E032866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5" xr:uid="{D9D789AD-BD4F-4D9D-A707-01FA3BC888C5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6" xr:uid="{5778A2F3-E6CD-4774-9CCD-447BE0396789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7" xr:uid="{9A147734-5034-44A8-8A6F-A5458602A544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8" xr:uid="{19EC6CC5-23FB-4B77-8A4D-D4AEC3DB75FB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19" xr:uid="{444B0814-A818-44F2-9E68-8E73C1C92C2F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0" xr:uid="{F16FF89A-0774-416A-A454-9EBDB5016285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1" xr:uid="{B7797E3C-A267-42D2-A7B7-32AAD55496E4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2" xr:uid="{0F7F0023-D25C-4F95-986F-27C97335463B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3" xr:uid="{93229F2A-BF45-4085-B372-77DF0DE115D1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4" xr:uid="{AAFE9D7B-DCCF-490B-965B-8516B168CA15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5" xr:uid="{B483488C-EDAA-4E6E-AD2D-A3774E456F6E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6" xr:uid="{A1E60D54-DA61-4797-B325-DD450EDDFF41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7" xr:uid="{A8320350-F5D7-4A66-9A35-E71E6C84B7C1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8" xr:uid="{72BE7EDC-1092-4E2B-A227-B46A8E142415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29" xr:uid="{93573CCC-C9B2-45DC-9308-0E0BF1A13136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30" xr:uid="{DCE02527-3F09-4572-9E1F-A384BE112F37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31" xr:uid="{D05E0C28-15C8-4288-8555-3CDF267CD1B8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32" xr:uid="{36C77654-A1E4-41B0-A9B0-E0961C8F02D5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33" xr:uid="{335992DD-6272-42CD-AF65-F7D328CB8469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K34" xr:uid="{9AA1FEC0-1F82-4A1C-A414-F0FA8F3C9CBC}">
      <formula1>0</formula1>
      <formula2>999</formula2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5" xr:uid="{E61A3726-CA0F-4317-8402-FACFEC97DCB1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6" xr:uid="{305C199E-EAE4-4E38-B12C-3DD73A499D60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7" xr:uid="{B73AF89F-5787-41DC-9AB1-3F57E575D373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8" xr:uid="{121F114B-A706-436D-8A50-6C27CC07A128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9" xr:uid="{3E9D1B62-3BF4-4592-983F-04ED727EEF9F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0" xr:uid="{AC4E4EA2-1AB9-4420-B61D-17510972C094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1" xr:uid="{20396BC0-AAA5-4CE9-82A4-61FBA5FF2A5F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2" xr:uid="{6AC88D6A-5902-4166-8FAD-E97C9E09DDCB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3" xr:uid="{2C877A8B-DFA0-415C-8D75-AA3F7D2E63F1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4" xr:uid="{BB762D72-CD98-47FA-9B9B-696C477B0A7D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5" xr:uid="{D7F88461-5B9C-4D5C-98FD-32FD28C62E72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6" xr:uid="{89F24A84-AC43-4D2D-8C05-16A724A3EB2B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7" xr:uid="{9E053081-DAF7-408A-9197-C75DBE6AE5F3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8" xr:uid="{9169B640-E3E6-4719-9F85-4E817B745A05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19" xr:uid="{97D8377F-4C8D-420E-AB4D-7990F84E8E21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0" xr:uid="{8EB6F94A-D979-431C-B5D0-256C9A97D3C0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1" xr:uid="{5C744F0C-03C3-45BC-B269-B5259CEED281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2" xr:uid="{1E5C1B38-82C3-4164-9C10-4C6C527213D5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3" xr:uid="{CE0F21DC-BEFC-4E6E-AB79-5EE92255AFB6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4" xr:uid="{CC18F699-B849-40A2-A8C2-751971E87445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5" xr:uid="{A72CF4DB-0C30-4966-B8F6-55D6D395F7E3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6" xr:uid="{92976009-49DB-43A7-9D47-EBC05348111D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7" xr:uid="{2A839249-5594-42D9-9C57-346E1295C2E7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8" xr:uid="{AE9ED2F2-711C-4DF4-A9A2-2B7FD5072794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29" xr:uid="{9B8E1961-F3F1-493A-BB00-21DC211668DA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30" xr:uid="{3CB4726A-9158-4903-B0E7-1A4CE1D8E7E9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31" xr:uid="{530867DC-D011-4FFB-A8BD-086C8D101B34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32" xr:uid="{42EA56E6-BF28-4C78-8C3F-979F6507CC02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33" xr:uid="{B7BA1465-AB09-4BEE-82A5-046B957A447A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L34" xr:uid="{995C1DBD-D015-4ED5-A3C6-2CB73E89197C}">
      <formula1>ListWindow</formula1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5" xr:uid="{38C1DCED-C040-407B-993F-C164178516E3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6" xr:uid="{372A2025-9678-44D8-BB72-A4510A37527E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7" xr:uid="{6933A0A3-E710-4EB4-8FD6-D2CE8ACF1289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8" xr:uid="{EC2508C8-38E9-4C62-96F2-266E49CEC12A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9" xr:uid="{D70E3630-4DA9-4101-A214-55FB269938CF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0" xr:uid="{3C5DBDAD-D5FC-4605-940E-BC6882A4C427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1" xr:uid="{66C8E204-E5EF-45BF-B0C9-BB627C636C44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2" xr:uid="{3FF3EFBC-A281-48BE-9468-68E96DB6CFE6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3" xr:uid="{08BF2821-99B6-45D0-BBAE-C09806CBD9AC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4" xr:uid="{92889DED-B5B1-4D2D-904D-01BE05DE7EE6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5" xr:uid="{7531A715-1317-4F0E-8623-D739B78B3AAB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6" xr:uid="{58B99292-AE64-45B2-A4E4-9605433EAFF6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7" xr:uid="{4FDD940F-498F-4A75-8384-11E144C8C93D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8" xr:uid="{93C4FD50-0386-4C3F-9BB1-D1A3324D0042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19" xr:uid="{61022F01-F522-43A2-B70F-FC43AD3264DD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0" xr:uid="{BABA2FA3-29B2-4FC7-851A-14FEC7289108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1" xr:uid="{EAE362EC-3272-4DF9-8C93-D898FF5A6861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2" xr:uid="{24E6B962-46C2-402C-A0D1-DE8A97CD46C3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3" xr:uid="{BEF200F1-47B8-48F0-92EC-08FFADE6E59F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4" xr:uid="{F3F60506-6FEF-447D-B5DD-7E0702EAD0B2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5" xr:uid="{AFFE8AAE-6222-48F5-96C3-B5F8D928C513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6" xr:uid="{FE2BB7D1-47D7-41B9-95D9-7FE290EAC96A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7" xr:uid="{11F0B10C-18AD-4942-978E-6E4E9236C590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8" xr:uid="{3AFD455D-BB3D-4366-8D3A-B10E983BE383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29" xr:uid="{7FB3E3D8-D4EE-43AA-BB91-9D78352DF51F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30" xr:uid="{E8B69C57-6846-47FF-B388-3D1B7E2A9B9A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31" xr:uid="{36B7D587-12DB-480C-AADE-80F1AB4F1ED6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32" xr:uid="{2052C190-ADC4-428D-BBF2-72160E315991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33" xr:uid="{1A4767C1-9CE9-4967-837D-A7DD56089ED6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M34" xr:uid="{023EF634-E382-4EA5-96BF-FFBD6E902BE4}">
      <formula1>0</formula1>
      <formula2>999</formula2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5" xr:uid="{28FE3483-4EFC-43E8-BF13-E4243DA86A08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6" xr:uid="{0A12B986-6FCD-4126-8511-BF66D66D0E82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7" xr:uid="{91CB9C61-B9C3-4D61-9506-64E16AAF4DBC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8" xr:uid="{A6983E3A-C712-401F-9120-62F1BA600165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9" xr:uid="{2BE5272E-E66D-4545-9497-7388CC4621A6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0" xr:uid="{DF00FB0F-8BFC-4C03-AF4A-5B717010977A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1" xr:uid="{D1A81FF6-1116-4247-AEEC-6363E923D1FD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2" xr:uid="{A690A6FA-F45B-4BBD-8FB7-51D802F94081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3" xr:uid="{0B4C2A0F-28DA-4529-82C8-6488D9F7635B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4" xr:uid="{3F9C23A0-3DDB-4B34-A165-97FE01EA93D1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5" xr:uid="{4EA235F5-2BC2-4132-8BE9-25AFC2693B6F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6" xr:uid="{0367B1E9-EBE6-4C2F-BECA-9DC26EEDBE87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7" xr:uid="{839C9E02-EA29-4235-88C1-02FA23DF2D1D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8" xr:uid="{F575FA94-2DD5-4770-A66B-649C0619A84E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19" xr:uid="{97C33177-FACB-494A-B83B-56C7145B04DE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0" xr:uid="{3DD58BD0-70B7-4ED4-9252-F3C3331890D3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1" xr:uid="{C928FA36-B056-4EE3-AC95-5BACDD9A1748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2" xr:uid="{6014D39F-6E41-4986-BEC7-34A874D09242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3" xr:uid="{AFF67087-3702-494D-8A06-71E84D899E27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4" xr:uid="{E22DEC74-BFDC-4FF2-BD66-710B35013FDD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5" xr:uid="{ACC89BC9-69ED-4FF5-98AD-71309F6082EE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6" xr:uid="{CD1FFC37-59FD-49D1-86F4-3BB8EB960171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7" xr:uid="{6E317881-665A-4970-991C-8D74A4686838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8" xr:uid="{F378AB79-1E86-4061-9145-ADE982EF6E33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29" xr:uid="{882934F2-5D8A-41F3-8872-8947D9881F18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30" xr:uid="{50697554-C47B-4BCA-8B3D-4033CF22BC1D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31" xr:uid="{D65E72F4-0B98-43EC-81FC-395915264416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32" xr:uid="{B1E6BEB4-4AEC-485F-94CC-B7BFB0DFAA6F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33" xr:uid="{6009BF44-C073-48B8-AFAB-F9346A85A42F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N34" xr:uid="{4110A0E7-57B0-4EA0-80F9-019ABA035F10}">
      <formula1>ListWindow</formula1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5" xr:uid="{5850EA6A-DEB1-4142-A68D-32678D4EBB0B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6" xr:uid="{FBA47504-E749-42E7-88EC-85FBB39D5A10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7" xr:uid="{C73D7CEA-5632-4A4C-8419-14D34DE6714F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8" xr:uid="{66D97F6C-5318-4783-BAB9-9C8C0763D110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9" xr:uid="{B753B23C-B389-4112-BED7-BA92B8031DBF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0" xr:uid="{120EA19C-9FC8-4AAD-B90B-A8C7C52E16F1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1" xr:uid="{6F71E32C-E037-4831-81AC-F6451520B8DD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2" xr:uid="{D533DE2C-7AE2-4BB7-8BC5-961FA086C429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3" xr:uid="{1793AD0E-F294-436F-8D8E-C33AD7B1A278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4" xr:uid="{EB49E067-03B3-4216-9CBC-C5F37D7ECC41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5" xr:uid="{00C02606-7C76-4BF6-B1C0-62B14454260C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6" xr:uid="{C7A6FA39-0639-40EC-8C3C-FBD34BB3A8A1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7" xr:uid="{7B589CFF-6282-4E18-9942-7324800D9E3E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8" xr:uid="{0175CDEC-6715-4F35-8C7C-CEE4AF0C4F5E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19" xr:uid="{46FB0226-ADF5-4EF1-8D8B-9F52DC40B46D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0" xr:uid="{AAE78C49-9E54-4241-BBE8-91C83DAF4DEE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1" xr:uid="{5BF8B959-654A-4292-8ACE-CCED9BADB766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2" xr:uid="{8EFF8761-5197-4887-91FA-29C0EE98436A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3" xr:uid="{6FF321DB-ECE5-47FA-B22B-E056664A4FCA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4" xr:uid="{695E24F9-3C83-4B3B-95AC-D3365C5C60AB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5" xr:uid="{D20E4956-1293-4511-AD66-065AF81ABA43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6" xr:uid="{558FC30C-36E5-49F9-9582-F04425AA6B3A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7" xr:uid="{E4999A5E-DDDF-44CB-8F4A-DBA45EC3A77C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8" xr:uid="{C9295EF3-7F25-4735-8F9D-0A9A06DB6FF9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29" xr:uid="{D0B23AD0-4463-4382-A52F-8C8C4ECBFB74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30" xr:uid="{C84EC7F5-C861-4B55-9A16-DE68A0C99592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31" xr:uid="{165EB87F-123C-4976-8C7E-FAF23D0EE5DE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32" xr:uid="{E4C00EF3-9EC8-47DF-AB71-11B5299CAF66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33" xr:uid="{0C1CF3C1-EA3B-46A7-A18B-4D5695D0FA65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O34" xr:uid="{0BF1BA84-8D27-4CDC-B3B8-E2C939BB4762}">
      <formula1>0</formula1>
      <formula2>999</formula2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5" xr:uid="{0BBB8864-28CF-428F-A867-21822A32E9AA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6" xr:uid="{C90325B2-9D45-476B-A786-406E3ED74073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7" xr:uid="{4ADC9A8C-DD15-461B-A719-2C25AD393D5E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8" xr:uid="{E9B9D259-B45B-47E4-B599-B4F61471F868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9" xr:uid="{176C74CA-1415-491B-BB7B-49ACAC7F220C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0" xr:uid="{C0CE52A7-3D60-459F-9B35-0162A83273C8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1" xr:uid="{4E5ACDB2-1BF8-49AF-A5B0-299179D6F775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2" xr:uid="{A9D64377-191D-495E-9046-A4E1E48C9A2B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3" xr:uid="{3426A45C-3C15-46D4-BE18-2ACC8B4A41CA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4" xr:uid="{8E5A7082-7EAA-4577-ABBB-F1AF3209A8F4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5" xr:uid="{A3B84D77-3AA6-4634-825E-BBF20D5BFFF5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6" xr:uid="{9C8A473D-8A90-4194-BADD-F54C44A11C6E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7" xr:uid="{0169BACF-F851-4C2A-81D8-538BFE19A127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8" xr:uid="{3A99223A-385A-46A4-BD55-08CC4B4F7281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19" xr:uid="{251CBC7C-3603-429A-A3D7-FF2CAAB16B30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0" xr:uid="{78F7DB86-E4E9-4B61-8EB5-FE8410DE3E34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1" xr:uid="{7A1D712C-BF84-402C-B704-44698AEBE141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2" xr:uid="{A00DC518-9FF1-4625-BC7C-2C566A45C66B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3" xr:uid="{EAD6288D-E7C1-4854-8002-93456439431A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4" xr:uid="{DA74953B-B4C8-4407-9970-C34F0E1896F9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5" xr:uid="{547AE88C-1012-4043-848A-E8FBEF5DBF65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6" xr:uid="{6E5BE997-AF0D-4AAB-9E19-A285B1A28521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7" xr:uid="{6F6552FF-762A-40DD-8CC4-74D5ADC71D17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8" xr:uid="{DAE8BAD1-FD6C-4EC1-B447-96795448A976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29" xr:uid="{5ECC7DD9-519D-4197-8C96-1D3CDC2E8D67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30" xr:uid="{211CA6B6-EEBF-4C1E-A930-C521D57E45FB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31" xr:uid="{8C5A968D-EA6C-4F19-80E3-45A34C4F6EF1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32" xr:uid="{A4FF68B4-3141-4CC7-AC61-1C5B976F2367}">
      <formula1>ListWindow</formula1>
    </dataValidation>
    <dataValidation type="list" allowBlank="1" showInputMessage="1" showErrorMessage="1" errorTitle="Errore" error="È necessario selezionare una voce dall' elenco." promptTitle="Finestra Tipo" prompt="Selezionare uno dei tipi di finestra registrati nel foglio &quot;Finestra&quot;." sqref="P33" xr:uid="{C11FFE6D-5690-48A0-B760-31760B31C168}">
      <formula1>ListWindow</formula1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5" xr:uid="{97A8DB7C-677B-4CF5-9881-DDED093C0327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6" xr:uid="{2438EC27-5C73-4D48-A1CA-107E24873417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7" xr:uid="{14BAED0F-D9F6-44D5-A531-810076800695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8" xr:uid="{1745E174-9EE0-4D60-A003-5EA60C329530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9" xr:uid="{112D1380-15E1-4B5F-BE18-D40958FFD5F2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0" xr:uid="{B610AD05-DFCE-48B9-B428-CC3D9E91219A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1" xr:uid="{09FE5832-591B-4CE2-9143-6EE5FB6BC229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2" xr:uid="{FEC770E6-B72A-4AA3-8F8F-1D9762692A52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3" xr:uid="{452FA3B7-9F94-497C-86AE-03E250CAE107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4" xr:uid="{204A3D18-B78D-4A60-A776-C1625EE9C906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5" xr:uid="{ED6064D2-AF24-482E-8E48-FFF3D0947340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6" xr:uid="{D7FAFA57-BFDD-49F0-8B7E-DCD1A88E755F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7" xr:uid="{C71EDB01-5750-4175-A4EA-62E14776ADF9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8" xr:uid="{A15D06C4-C900-4880-91C9-15D02D6642E9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19" xr:uid="{34DBBC38-82F3-4CE2-83B0-F6EAB33AB376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0" xr:uid="{31EE3F6D-BF25-4DA9-9923-E7CABC1794C5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1" xr:uid="{D27581B6-2006-4304-ADA8-8A405C795C7B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2" xr:uid="{32C9E0B0-20B3-4198-98E7-053E5D4FF94E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3" xr:uid="{190EA1D7-025B-4ED4-818C-7FDA4B0BD430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4" xr:uid="{8877FE76-D401-4CA8-997D-B2CA295AD3FD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5" xr:uid="{1A9D7098-066A-4D69-975C-3BA7E25B75BA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6" xr:uid="{F2C7EE0B-69A5-4EBB-B773-8FD47B74847E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7" xr:uid="{B220213B-2DE3-4273-9EB0-E85D3DA42890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8" xr:uid="{1D88EE2E-F4B8-456D-A74F-51C9976FDF84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29" xr:uid="{8738C184-D965-46DC-A915-F622DF6365C5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30" xr:uid="{1763AE99-65AA-47ED-9BCD-C4E4B70423C7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31" xr:uid="{52EA2A48-0D08-494E-8878-B86ACAD391AC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32" xr:uid="{4D2AA53B-E987-4412-B935-14EAC4D48879}">
      <formula1>0</formula1>
      <formula2>999</formula2>
    </dataValidation>
    <dataValidation type="whole" allowBlank="1" showInputMessage="1" showErrorMessage="1" errorTitle="Errore" error="È necessario immettere valori interi compresi tra 0 e 999." promptTitle="Numero" prompt="Immettere il numero totale di questo tipo di finestra." sqref="Q33" xr:uid="{2DC33461-1369-405F-815E-80150E47EDF8}">
      <formula1>0</formula1>
      <formula2>999</formula2>
    </dataValidation>
  </dataValidations>
  <hyperlinks>
    <hyperlink ref="G1:I2" location="'Nachweis Tageslicht'!A1" display="Zum Nachweis" xr:uid="{00000000-0004-0000-0200-000000000000}"/>
    <hyperlink ref="D1:F2" location="Überblick!A1" display="Zum Überblick" xr:uid="{00000000-0004-0000-0200-000001000000}"/>
  </hyperlinks>
  <printOptions horizontalCentered="1"/>
  <pageMargins left="0.55118110236220474" right="0.55118110236220474" top="0.43307086614173229" bottom="0" header="0.51181102362204722" footer="0.27559055118110237"/>
  <pageSetup paperSize="9" scale="77" orientation="landscape" horizontalDpi="4294967292" r:id="rId1"/>
  <headerFooter alignWithMargins="0">
    <oddHeader>&amp;R&amp;G</oddHeader>
    <oddFooter>&amp;L&amp;10&amp;F&amp;R&amp;10&amp;P von 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7">
    <tabColor theme="9" tint="0.59999389629810485"/>
  </sheetPr>
  <dimension ref="A1:T56"/>
  <sheetViews>
    <sheetView showGridLines="0" workbookViewId="0">
      <selection activeCell="C5" sqref="C5"/>
    </sheetView>
  </sheetViews>
  <sheetFormatPr baseColWidth="10" defaultRowHeight="15" x14ac:dyDescent="0.35"/>
  <cols>
    <col min="1" max="1" width="2.75" customWidth="1"/>
    <col min="2" max="2" width="46.3125" customWidth="1"/>
    <col min="3" max="6" width="12.75" customWidth="1"/>
    <col min="7" max="7" width="11.5625" customWidth="1"/>
    <col min="8" max="8" width="10.0625" customWidth="1"/>
    <col min="9" max="13" width="11.5625" hidden="1" customWidth="1"/>
  </cols>
  <sheetData>
    <row r="1" spans="1:20" ht="28.5" customHeight="1" x14ac:dyDescent="0.35">
      <c r="A1" s="207" t="str">
        <f>IF(Projektbez="","",Projektbez&amp;" – ")&amp;Texte!$B$101</f>
        <v>Locali tipo e prospettive</v>
      </c>
      <c r="B1" s="208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T1" s="209"/>
    </row>
    <row r="2" spans="1:20" ht="9" customHeight="1" x14ac:dyDescent="0.35">
      <c r="A2" s="102"/>
      <c r="B2" s="102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</row>
    <row r="3" spans="1:20" ht="18.75" customHeight="1" x14ac:dyDescent="0.35">
      <c r="A3" s="38"/>
      <c r="B3" s="187" t="str">
        <f>VLOOKUP(ADDRESS(ROW(),COLUMN(),4),MatrixTexteT5,2,FALSE)</f>
        <v>Locale Tipo</v>
      </c>
      <c r="C3" s="285" t="str">
        <f>VLOOKUP(ADDRESS(ROW(),COLUMN(),4),MatrixTexteT5,2,FALSE)</f>
        <v>Dati dello locale</v>
      </c>
      <c r="D3" s="286"/>
      <c r="E3" s="286"/>
      <c r="F3" s="286"/>
      <c r="G3" s="285" t="str">
        <f>Illuminazione_naturale!R3</f>
        <v>Ris.</v>
      </c>
      <c r="H3" s="286"/>
      <c r="I3" s="304" t="s">
        <v>122</v>
      </c>
      <c r="J3" s="305"/>
      <c r="K3" s="305"/>
      <c r="L3" s="305"/>
      <c r="M3" s="305"/>
      <c r="N3" s="209"/>
      <c r="O3" s="209"/>
      <c r="P3" s="209"/>
      <c r="Q3" s="209"/>
      <c r="R3" s="209"/>
      <c r="S3" s="209"/>
      <c r="T3" s="209"/>
    </row>
    <row r="4" spans="1:20" ht="46.5" customHeight="1" thickBot="1" x14ac:dyDescent="0.4">
      <c r="A4" s="87" t="s">
        <v>651</v>
      </c>
      <c r="B4" s="86" t="str">
        <f>VLOOKUP(ADDRESS(ROW(),COLUMN(),4),MatrixTexteT5,2,FALSE)</f>
        <v>Designazione locale
-</v>
      </c>
      <c r="C4" s="39" t="str">
        <f>VLOOKUP(ADDRESS(ROW(),COLUMN(),4),MatrixTexteT5,2,FALSE)</f>
        <v>Profondità dell'area usata
m</v>
      </c>
      <c r="D4" s="39" t="str">
        <f>VLOOKUP(ADDRESS(ROW(),COLUMN(),4),MatrixTexteT5,2,FALSE)</f>
        <v>Raggio visivo
m</v>
      </c>
      <c r="E4" s="300" t="str">
        <f>VLOOKUP(ADDRESS(ROW(),COLUMN(),4),MatrixTexteT5,2,FALSE)</f>
        <v>Livelli di visione
-</v>
      </c>
      <c r="F4" s="301"/>
      <c r="G4" s="39" t="str">
        <f>VLOOKUP(ADDRESS(ROW(),COLUMN(),4),MatrixTexteT5,2,FALSE)</f>
        <v>Risultato
-</v>
      </c>
      <c r="H4" s="39" t="str">
        <f>VLOOKUP(ADDRESS(ROW(),COLUMN(),4),MatrixTexteT5,2,FALSE)</f>
        <v>Risultato
Pt.</v>
      </c>
      <c r="I4" s="189" t="s">
        <v>804</v>
      </c>
      <c r="J4" s="189" t="s">
        <v>801</v>
      </c>
      <c r="K4" s="189" t="s">
        <v>848</v>
      </c>
      <c r="L4" s="39" t="s">
        <v>803</v>
      </c>
      <c r="M4" s="39" t="s">
        <v>800</v>
      </c>
      <c r="N4" s="209"/>
      <c r="O4" s="209"/>
      <c r="P4" s="209"/>
      <c r="Q4" s="209"/>
      <c r="R4" s="209"/>
      <c r="S4" s="209"/>
      <c r="T4" s="209"/>
    </row>
    <row r="5" spans="1:20" ht="15.9" thickTop="1" thickBot="1" x14ac:dyDescent="0.4">
      <c r="A5" s="40">
        <v>1</v>
      </c>
      <c r="B5" s="204" t="str">
        <f>IF(Illuminazione_naturale!B5="","",Illuminazione_naturale!B5)</f>
        <v/>
      </c>
      <c r="C5" s="190"/>
      <c r="D5" s="190"/>
      <c r="E5" s="296"/>
      <c r="F5" s="297"/>
      <c r="G5" s="41" t="str">
        <f>M5</f>
        <v/>
      </c>
      <c r="H5" s="203" t="str">
        <f>L5</f>
        <v/>
      </c>
      <c r="I5" s="41">
        <f>Illuminazione_naturale!W5</f>
        <v>0</v>
      </c>
      <c r="J5" s="41" t="str">
        <f t="shared" ref="J5:J34" si="0">IFERROR(DEGREES(ATAN(I5/C5)),"")</f>
        <v/>
      </c>
      <c r="K5" s="41">
        <f>Illuminazione_naturale!S5*Illuminazione_naturale!H5</f>
        <v>0</v>
      </c>
      <c r="L5" s="41" t="str">
        <f t="shared" ref="L5:L34" si="1">IFERROR(IF(AND(VLOOKUP(E5,MatrixAussicht,2,FALSE)=3,J5&gt;=54,D5&gt;=50),3,IF(AND(VLOOKUP(E5,MatrixAussicht,2,FALSE)&gt;=2,J5&gt;=28,D5&gt;=20),2,IF(AND(VLOOKUP(E5,MatrixAussicht,2,FALSE)&gt;=1,J5&gt;=14,D5&gt;=6),1,0))),"")</f>
        <v/>
      </c>
      <c r="M5" s="41" t="str">
        <f>IF(L5="","",IF(L5=3,Texte!$B$214,IF(L5=2,Texte!$B$215,IF(L5=1,Texte!$B$216,Texte!$B$217))))</f>
        <v/>
      </c>
      <c r="N5" s="209"/>
      <c r="O5" s="209"/>
      <c r="P5" s="209"/>
      <c r="Q5" s="209"/>
      <c r="R5" s="209"/>
      <c r="S5" s="209"/>
      <c r="T5" s="209"/>
    </row>
    <row r="6" spans="1:20" ht="15.9" thickTop="1" thickBot="1" x14ac:dyDescent="0.4">
      <c r="A6" s="40">
        <v>2</v>
      </c>
      <c r="B6" s="204" t="str">
        <f>IF(Illuminazione_naturale!B6="","",Illuminazione_naturale!B6)</f>
        <v/>
      </c>
      <c r="C6" s="190"/>
      <c r="D6" s="190"/>
      <c r="E6" s="296"/>
      <c r="F6" s="297"/>
      <c r="G6" s="41" t="str">
        <f t="shared" ref="G6:G34" si="2">M6</f>
        <v/>
      </c>
      <c r="H6" s="203" t="str">
        <f t="shared" ref="H6:H34" si="3">L6</f>
        <v/>
      </c>
      <c r="I6" s="41">
        <f>Illuminazione_naturale!W6</f>
        <v>0</v>
      </c>
      <c r="J6" s="41" t="str">
        <f t="shared" si="0"/>
        <v/>
      </c>
      <c r="K6" s="41">
        <f>Illuminazione_naturale!S6*Illuminazione_naturale!H6</f>
        <v>0</v>
      </c>
      <c r="L6" s="41" t="str">
        <f t="shared" si="1"/>
        <v/>
      </c>
      <c r="M6" s="41" t="str">
        <f>IF(L6="","",IF(L6=3,Texte!$B$214,IF(L6=2,Texte!$B$215,IF(L6=1,Texte!$B$216,Texte!$B$217))))</f>
        <v/>
      </c>
      <c r="N6" s="209"/>
      <c r="O6" s="209"/>
      <c r="P6" s="209"/>
      <c r="Q6" s="209"/>
      <c r="R6" s="209"/>
      <c r="S6" s="209"/>
      <c r="T6" s="209"/>
    </row>
    <row r="7" spans="1:20" ht="15.9" thickTop="1" thickBot="1" x14ac:dyDescent="0.4">
      <c r="A7" s="40">
        <v>3</v>
      </c>
      <c r="B7" s="204" t="str">
        <f>IF(Illuminazione_naturale!B7="","",Illuminazione_naturale!B7)</f>
        <v/>
      </c>
      <c r="C7" s="190"/>
      <c r="D7" s="190"/>
      <c r="E7" s="296"/>
      <c r="F7" s="297"/>
      <c r="G7" s="41" t="str">
        <f t="shared" si="2"/>
        <v/>
      </c>
      <c r="H7" s="203" t="str">
        <f t="shared" si="3"/>
        <v/>
      </c>
      <c r="I7" s="41">
        <f>Illuminazione_naturale!W7</f>
        <v>0</v>
      </c>
      <c r="J7" s="41" t="str">
        <f t="shared" si="0"/>
        <v/>
      </c>
      <c r="K7" s="41">
        <f>Illuminazione_naturale!S7*Illuminazione_naturale!H7</f>
        <v>0</v>
      </c>
      <c r="L7" s="41" t="str">
        <f t="shared" si="1"/>
        <v/>
      </c>
      <c r="M7" s="41" t="str">
        <f>IF(L7="","",IF(L7=3,Texte!$B$214,IF(L7=2,Texte!$B$215,IF(L7=1,Texte!$B$216,Texte!$B$217))))</f>
        <v/>
      </c>
      <c r="N7" s="209"/>
      <c r="O7" s="209"/>
      <c r="P7" s="209"/>
      <c r="Q7" s="209"/>
      <c r="R7" s="209"/>
      <c r="S7" s="209"/>
      <c r="T7" s="209"/>
    </row>
    <row r="8" spans="1:20" ht="15.9" thickTop="1" thickBot="1" x14ac:dyDescent="0.4">
      <c r="A8" s="40">
        <v>4</v>
      </c>
      <c r="B8" s="204" t="str">
        <f>IF(Illuminazione_naturale!B8="","",Illuminazione_naturale!B8)</f>
        <v/>
      </c>
      <c r="C8" s="190"/>
      <c r="D8" s="190"/>
      <c r="E8" s="296"/>
      <c r="F8" s="297"/>
      <c r="G8" s="41" t="str">
        <f t="shared" si="2"/>
        <v/>
      </c>
      <c r="H8" s="203" t="str">
        <f t="shared" si="3"/>
        <v/>
      </c>
      <c r="I8" s="41">
        <f>Illuminazione_naturale!W8</f>
        <v>0</v>
      </c>
      <c r="J8" s="41" t="str">
        <f t="shared" si="0"/>
        <v/>
      </c>
      <c r="K8" s="41">
        <f>Illuminazione_naturale!S8*Illuminazione_naturale!H8</f>
        <v>0</v>
      </c>
      <c r="L8" s="41" t="str">
        <f t="shared" si="1"/>
        <v/>
      </c>
      <c r="M8" s="41" t="str">
        <f>IF(L8="","",IF(L8=3,Texte!$B$214,IF(L8=2,Texte!$B$215,IF(L8=1,Texte!$B$216,Texte!$B$217))))</f>
        <v/>
      </c>
      <c r="N8" s="209"/>
      <c r="O8" s="209"/>
      <c r="P8" s="209"/>
      <c r="Q8" s="209"/>
      <c r="R8" s="209"/>
      <c r="S8" s="209"/>
      <c r="T8" s="209"/>
    </row>
    <row r="9" spans="1:20" ht="15.9" thickTop="1" thickBot="1" x14ac:dyDescent="0.4">
      <c r="A9" s="40">
        <v>5</v>
      </c>
      <c r="B9" s="204" t="str">
        <f>IF(Illuminazione_naturale!B9="","",Illuminazione_naturale!B9)</f>
        <v/>
      </c>
      <c r="C9" s="190"/>
      <c r="D9" s="190"/>
      <c r="E9" s="296"/>
      <c r="F9" s="297"/>
      <c r="G9" s="41" t="str">
        <f t="shared" si="2"/>
        <v/>
      </c>
      <c r="H9" s="203" t="str">
        <f t="shared" si="3"/>
        <v/>
      </c>
      <c r="I9" s="41">
        <f>Illuminazione_naturale!W9</f>
        <v>0</v>
      </c>
      <c r="J9" s="41" t="str">
        <f t="shared" si="0"/>
        <v/>
      </c>
      <c r="K9" s="41">
        <f>Illuminazione_naturale!S9*Illuminazione_naturale!H9</f>
        <v>0</v>
      </c>
      <c r="L9" s="41" t="str">
        <f t="shared" si="1"/>
        <v/>
      </c>
      <c r="M9" s="41" t="str">
        <f>IF(L9="","",IF(L9=3,Texte!$B$214,IF(L9=2,Texte!$B$215,IF(L9=1,Texte!$B$216,Texte!$B$217))))</f>
        <v/>
      </c>
      <c r="N9" s="209"/>
      <c r="O9" s="209"/>
      <c r="P9" s="209"/>
      <c r="Q9" s="209"/>
      <c r="R9" s="209"/>
      <c r="S9" s="209"/>
      <c r="T9" s="209"/>
    </row>
    <row r="10" spans="1:20" ht="15.9" thickTop="1" thickBot="1" x14ac:dyDescent="0.4">
      <c r="A10" s="40">
        <v>6</v>
      </c>
      <c r="B10" s="204" t="str">
        <f>IF(Illuminazione_naturale!B10="","",Illuminazione_naturale!B10)</f>
        <v/>
      </c>
      <c r="C10" s="190"/>
      <c r="D10" s="190"/>
      <c r="E10" s="296"/>
      <c r="F10" s="297"/>
      <c r="G10" s="41" t="str">
        <f t="shared" si="2"/>
        <v/>
      </c>
      <c r="H10" s="203" t="str">
        <f t="shared" si="3"/>
        <v/>
      </c>
      <c r="I10" s="41">
        <f>Illuminazione_naturale!W10</f>
        <v>0</v>
      </c>
      <c r="J10" s="41" t="str">
        <f t="shared" si="0"/>
        <v/>
      </c>
      <c r="K10" s="41">
        <f>Illuminazione_naturale!S10*Illuminazione_naturale!H10</f>
        <v>0</v>
      </c>
      <c r="L10" s="41" t="str">
        <f t="shared" si="1"/>
        <v/>
      </c>
      <c r="M10" s="41" t="str">
        <f>IF(L10="","",IF(L10=3,Texte!$B$214,IF(L10=2,Texte!$B$215,IF(L10=1,Texte!$B$216,Texte!$B$217))))</f>
        <v/>
      </c>
      <c r="N10" s="209"/>
      <c r="O10" s="209"/>
      <c r="P10" s="209"/>
      <c r="Q10" s="209"/>
      <c r="R10" s="209"/>
      <c r="S10" s="209"/>
      <c r="T10" s="209"/>
    </row>
    <row r="11" spans="1:20" ht="15.9" thickTop="1" thickBot="1" x14ac:dyDescent="0.4">
      <c r="A11" s="40">
        <v>7</v>
      </c>
      <c r="B11" s="204" t="str">
        <f>IF(Illuminazione_naturale!B11="","",Illuminazione_naturale!B11)</f>
        <v/>
      </c>
      <c r="C11" s="190"/>
      <c r="D11" s="190"/>
      <c r="E11" s="296"/>
      <c r="F11" s="297"/>
      <c r="G11" s="41" t="str">
        <f t="shared" si="2"/>
        <v/>
      </c>
      <c r="H11" s="203" t="str">
        <f t="shared" si="3"/>
        <v/>
      </c>
      <c r="I11" s="41">
        <f>Illuminazione_naturale!W11</f>
        <v>0</v>
      </c>
      <c r="J11" s="41" t="str">
        <f t="shared" si="0"/>
        <v/>
      </c>
      <c r="K11" s="41">
        <f>Illuminazione_naturale!S11*Illuminazione_naturale!H11</f>
        <v>0</v>
      </c>
      <c r="L11" s="41" t="str">
        <f t="shared" si="1"/>
        <v/>
      </c>
      <c r="M11" s="41" t="str">
        <f>IF(L11="","",IF(L11=3,Texte!$B$214,IF(L11=2,Texte!$B$215,IF(L11=1,Texte!$B$216,Texte!$B$217))))</f>
        <v/>
      </c>
      <c r="N11" s="209"/>
      <c r="O11" s="209"/>
      <c r="P11" s="209"/>
      <c r="Q11" s="209"/>
      <c r="R11" s="209"/>
      <c r="S11" s="209"/>
      <c r="T11" s="209"/>
    </row>
    <row r="12" spans="1:20" ht="15.9" thickTop="1" thickBot="1" x14ac:dyDescent="0.4">
      <c r="A12" s="40">
        <v>8</v>
      </c>
      <c r="B12" s="204" t="str">
        <f>IF(Illuminazione_naturale!B12="","",Illuminazione_naturale!B12)</f>
        <v/>
      </c>
      <c r="C12" s="190"/>
      <c r="D12" s="190"/>
      <c r="E12" s="296"/>
      <c r="F12" s="297"/>
      <c r="G12" s="41" t="str">
        <f t="shared" si="2"/>
        <v/>
      </c>
      <c r="H12" s="203" t="str">
        <f t="shared" si="3"/>
        <v/>
      </c>
      <c r="I12" s="41">
        <f>Illuminazione_naturale!W12</f>
        <v>0</v>
      </c>
      <c r="J12" s="41" t="str">
        <f t="shared" si="0"/>
        <v/>
      </c>
      <c r="K12" s="41">
        <f>Illuminazione_naturale!S12*Illuminazione_naturale!H12</f>
        <v>0</v>
      </c>
      <c r="L12" s="41" t="str">
        <f t="shared" si="1"/>
        <v/>
      </c>
      <c r="M12" s="41" t="str">
        <f>IF(L12="","",IF(L12=3,Texte!$B$214,IF(L12=2,Texte!$B$215,IF(L12=1,Texte!$B$216,Texte!$B$217))))</f>
        <v/>
      </c>
      <c r="N12" s="209"/>
      <c r="O12" s="209"/>
      <c r="P12" s="209"/>
      <c r="Q12" s="209"/>
      <c r="R12" s="209"/>
      <c r="S12" s="209"/>
      <c r="T12" s="209"/>
    </row>
    <row r="13" spans="1:20" ht="15.9" thickTop="1" thickBot="1" x14ac:dyDescent="0.4">
      <c r="A13" s="40">
        <v>9</v>
      </c>
      <c r="B13" s="204" t="str">
        <f>IF(Illuminazione_naturale!B13="","",Illuminazione_naturale!B13)</f>
        <v/>
      </c>
      <c r="C13" s="190"/>
      <c r="D13" s="190"/>
      <c r="E13" s="296"/>
      <c r="F13" s="297"/>
      <c r="G13" s="41" t="str">
        <f t="shared" si="2"/>
        <v/>
      </c>
      <c r="H13" s="203" t="str">
        <f t="shared" si="3"/>
        <v/>
      </c>
      <c r="I13" s="41">
        <f>Illuminazione_naturale!W13</f>
        <v>0</v>
      </c>
      <c r="J13" s="41" t="str">
        <f t="shared" si="0"/>
        <v/>
      </c>
      <c r="K13" s="41">
        <f>Illuminazione_naturale!S13*Illuminazione_naturale!H13</f>
        <v>0</v>
      </c>
      <c r="L13" s="41" t="str">
        <f t="shared" si="1"/>
        <v/>
      </c>
      <c r="M13" s="41" t="str">
        <f>IF(L13="","",IF(L13=3,Texte!$B$214,IF(L13=2,Texte!$B$215,IF(L13=1,Texte!$B$216,Texte!$B$217))))</f>
        <v/>
      </c>
      <c r="N13" s="209"/>
      <c r="O13" s="209"/>
      <c r="P13" s="209"/>
      <c r="Q13" s="209"/>
      <c r="R13" s="209"/>
      <c r="S13" s="209"/>
      <c r="T13" s="209"/>
    </row>
    <row r="14" spans="1:20" ht="15.9" thickTop="1" thickBot="1" x14ac:dyDescent="0.4">
      <c r="A14" s="40">
        <v>10</v>
      </c>
      <c r="B14" s="204" t="str">
        <f>IF(Illuminazione_naturale!B14="","",Illuminazione_naturale!B14)</f>
        <v/>
      </c>
      <c r="C14" s="190"/>
      <c r="D14" s="190"/>
      <c r="E14" s="296"/>
      <c r="F14" s="297"/>
      <c r="G14" s="41" t="str">
        <f t="shared" si="2"/>
        <v/>
      </c>
      <c r="H14" s="203" t="str">
        <f t="shared" si="3"/>
        <v/>
      </c>
      <c r="I14" s="41">
        <f>Illuminazione_naturale!W14</f>
        <v>0</v>
      </c>
      <c r="J14" s="41" t="str">
        <f t="shared" si="0"/>
        <v/>
      </c>
      <c r="K14" s="41">
        <f>Illuminazione_naturale!S14*Illuminazione_naturale!H14</f>
        <v>0</v>
      </c>
      <c r="L14" s="41" t="str">
        <f t="shared" si="1"/>
        <v/>
      </c>
      <c r="M14" s="41" t="str">
        <f>IF(L14="","",IF(L14=3,Texte!$B$214,IF(L14=2,Texte!$B$215,IF(L14=1,Texte!$B$216,Texte!$B$217))))</f>
        <v/>
      </c>
      <c r="N14" s="209"/>
      <c r="O14" s="209"/>
      <c r="P14" s="209"/>
      <c r="Q14" s="209"/>
      <c r="R14" s="209"/>
      <c r="S14" s="209"/>
      <c r="T14" s="209"/>
    </row>
    <row r="15" spans="1:20" ht="15.9" thickTop="1" thickBot="1" x14ac:dyDescent="0.4">
      <c r="A15" s="40">
        <v>11</v>
      </c>
      <c r="B15" s="204" t="str">
        <f>IF(Illuminazione_naturale!B15="","",Illuminazione_naturale!B15)</f>
        <v/>
      </c>
      <c r="C15" s="190"/>
      <c r="D15" s="190"/>
      <c r="E15" s="296"/>
      <c r="F15" s="297"/>
      <c r="G15" s="41" t="str">
        <f t="shared" si="2"/>
        <v/>
      </c>
      <c r="H15" s="203" t="str">
        <f t="shared" si="3"/>
        <v/>
      </c>
      <c r="I15" s="41">
        <f>Illuminazione_naturale!W15</f>
        <v>0</v>
      </c>
      <c r="J15" s="41" t="str">
        <f t="shared" si="0"/>
        <v/>
      </c>
      <c r="K15" s="41">
        <f>Illuminazione_naturale!S15*Illuminazione_naturale!H15</f>
        <v>0</v>
      </c>
      <c r="L15" s="41" t="str">
        <f t="shared" si="1"/>
        <v/>
      </c>
      <c r="M15" s="41" t="str">
        <f>IF(L15="","",IF(L15=3,Texte!$B$214,IF(L15=2,Texte!$B$215,IF(L15=1,Texte!$B$216,Texte!$B$217))))</f>
        <v/>
      </c>
      <c r="N15" s="209"/>
      <c r="O15" s="209"/>
      <c r="P15" s="209"/>
      <c r="Q15" s="209"/>
      <c r="R15" s="209"/>
      <c r="S15" s="209"/>
      <c r="T15" s="209"/>
    </row>
    <row r="16" spans="1:20" ht="15.9" thickTop="1" thickBot="1" x14ac:dyDescent="0.4">
      <c r="A16" s="40">
        <v>12</v>
      </c>
      <c r="B16" s="204" t="str">
        <f>IF(Illuminazione_naturale!B16="","",Illuminazione_naturale!B16)</f>
        <v/>
      </c>
      <c r="C16" s="190"/>
      <c r="D16" s="190"/>
      <c r="E16" s="296"/>
      <c r="F16" s="297"/>
      <c r="G16" s="41" t="str">
        <f t="shared" si="2"/>
        <v/>
      </c>
      <c r="H16" s="203" t="str">
        <f t="shared" si="3"/>
        <v/>
      </c>
      <c r="I16" s="41">
        <f>Illuminazione_naturale!W16</f>
        <v>0</v>
      </c>
      <c r="J16" s="41" t="str">
        <f t="shared" si="0"/>
        <v/>
      </c>
      <c r="K16" s="41">
        <f>Illuminazione_naturale!S16*Illuminazione_naturale!H16</f>
        <v>0</v>
      </c>
      <c r="L16" s="41" t="str">
        <f t="shared" si="1"/>
        <v/>
      </c>
      <c r="M16" s="41" t="str">
        <f>IF(L16="","",IF(L16=3,Texte!$B$214,IF(L16=2,Texte!$B$215,IF(L16=1,Texte!$B$216,Texte!$B$217))))</f>
        <v/>
      </c>
      <c r="N16" s="209"/>
      <c r="O16" s="209"/>
      <c r="P16" s="209"/>
      <c r="Q16" s="209"/>
      <c r="R16" s="209"/>
      <c r="S16" s="209"/>
      <c r="T16" s="209"/>
    </row>
    <row r="17" spans="1:20" ht="15.9" thickTop="1" thickBot="1" x14ac:dyDescent="0.4">
      <c r="A17" s="40">
        <v>13</v>
      </c>
      <c r="B17" s="204" t="str">
        <f>IF(Illuminazione_naturale!B17="","",Illuminazione_naturale!B17)</f>
        <v/>
      </c>
      <c r="C17" s="190"/>
      <c r="D17" s="190"/>
      <c r="E17" s="296"/>
      <c r="F17" s="297"/>
      <c r="G17" s="41" t="str">
        <f t="shared" si="2"/>
        <v/>
      </c>
      <c r="H17" s="203" t="str">
        <f t="shared" si="3"/>
        <v/>
      </c>
      <c r="I17" s="41">
        <f>Illuminazione_naturale!W17</f>
        <v>0</v>
      </c>
      <c r="J17" s="41" t="str">
        <f t="shared" si="0"/>
        <v/>
      </c>
      <c r="K17" s="41">
        <f>Illuminazione_naturale!S17*Illuminazione_naturale!H17</f>
        <v>0</v>
      </c>
      <c r="L17" s="41" t="str">
        <f t="shared" si="1"/>
        <v/>
      </c>
      <c r="M17" s="41" t="str">
        <f>IF(L17="","",IF(L17=3,Texte!$B$214,IF(L17=2,Texte!$B$215,IF(L17=1,Texte!$B$216,Texte!$B$217))))</f>
        <v/>
      </c>
      <c r="N17" s="209"/>
      <c r="O17" s="209"/>
      <c r="P17" s="209"/>
      <c r="Q17" s="209"/>
      <c r="R17" s="209"/>
      <c r="S17" s="209"/>
      <c r="T17" s="209"/>
    </row>
    <row r="18" spans="1:20" ht="15.9" thickTop="1" thickBot="1" x14ac:dyDescent="0.4">
      <c r="A18" s="40">
        <v>14</v>
      </c>
      <c r="B18" s="204" t="str">
        <f>IF(Illuminazione_naturale!B18="","",Illuminazione_naturale!B18)</f>
        <v/>
      </c>
      <c r="C18" s="190"/>
      <c r="D18" s="190"/>
      <c r="E18" s="296"/>
      <c r="F18" s="297"/>
      <c r="G18" s="41" t="str">
        <f t="shared" si="2"/>
        <v/>
      </c>
      <c r="H18" s="203" t="str">
        <f t="shared" si="3"/>
        <v/>
      </c>
      <c r="I18" s="41">
        <f>Illuminazione_naturale!W18</f>
        <v>0</v>
      </c>
      <c r="J18" s="41" t="str">
        <f t="shared" si="0"/>
        <v/>
      </c>
      <c r="K18" s="41">
        <f>Illuminazione_naturale!S18*Illuminazione_naturale!H18</f>
        <v>0</v>
      </c>
      <c r="L18" s="41" t="str">
        <f t="shared" si="1"/>
        <v/>
      </c>
      <c r="M18" s="41" t="str">
        <f>IF(L18="","",IF(L18=3,Texte!$B$214,IF(L18=2,Texte!$B$215,IF(L18=1,Texte!$B$216,Texte!$B$217))))</f>
        <v/>
      </c>
      <c r="N18" s="209"/>
      <c r="O18" s="209"/>
      <c r="P18" s="209"/>
      <c r="Q18" s="209"/>
      <c r="R18" s="209"/>
      <c r="S18" s="209"/>
      <c r="T18" s="209"/>
    </row>
    <row r="19" spans="1:20" ht="15.9" thickTop="1" thickBot="1" x14ac:dyDescent="0.4">
      <c r="A19" s="40">
        <v>15</v>
      </c>
      <c r="B19" s="204" t="str">
        <f>IF(Illuminazione_naturale!B19="","",Illuminazione_naturale!B19)</f>
        <v/>
      </c>
      <c r="C19" s="190"/>
      <c r="D19" s="190"/>
      <c r="E19" s="296"/>
      <c r="F19" s="297"/>
      <c r="G19" s="41" t="str">
        <f t="shared" si="2"/>
        <v/>
      </c>
      <c r="H19" s="203" t="str">
        <f t="shared" si="3"/>
        <v/>
      </c>
      <c r="I19" s="41">
        <f>Illuminazione_naturale!W19</f>
        <v>0</v>
      </c>
      <c r="J19" s="41" t="str">
        <f t="shared" si="0"/>
        <v/>
      </c>
      <c r="K19" s="41">
        <f>Illuminazione_naturale!S19*Illuminazione_naturale!H19</f>
        <v>0</v>
      </c>
      <c r="L19" s="41" t="str">
        <f t="shared" si="1"/>
        <v/>
      </c>
      <c r="M19" s="41" t="str">
        <f>IF(L19="","",IF(L19=3,Texte!$B$214,IF(L19=2,Texte!$B$215,IF(L19=1,Texte!$B$216,Texte!$B$217))))</f>
        <v/>
      </c>
      <c r="N19" s="209"/>
      <c r="O19" s="209"/>
      <c r="P19" s="209"/>
      <c r="Q19" s="209"/>
      <c r="R19" s="209"/>
      <c r="S19" s="209"/>
      <c r="T19" s="209"/>
    </row>
    <row r="20" spans="1:20" ht="15.9" thickTop="1" thickBot="1" x14ac:dyDescent="0.4">
      <c r="A20" s="40">
        <v>16</v>
      </c>
      <c r="B20" s="204" t="str">
        <f>IF(Illuminazione_naturale!B20="","",Illuminazione_naturale!B20)</f>
        <v/>
      </c>
      <c r="C20" s="190"/>
      <c r="D20" s="190"/>
      <c r="E20" s="296"/>
      <c r="F20" s="297"/>
      <c r="G20" s="41" t="str">
        <f t="shared" si="2"/>
        <v/>
      </c>
      <c r="H20" s="203" t="str">
        <f t="shared" si="3"/>
        <v/>
      </c>
      <c r="I20" s="41">
        <f>Illuminazione_naturale!W20</f>
        <v>0</v>
      </c>
      <c r="J20" s="41" t="str">
        <f t="shared" si="0"/>
        <v/>
      </c>
      <c r="K20" s="41">
        <f>Illuminazione_naturale!S20*Illuminazione_naturale!H20</f>
        <v>0</v>
      </c>
      <c r="L20" s="41" t="str">
        <f t="shared" si="1"/>
        <v/>
      </c>
      <c r="M20" s="41" t="str">
        <f>IF(L20="","",IF(L20=3,Texte!$B$214,IF(L20=2,Texte!$B$215,IF(L20=1,Texte!$B$216,Texte!$B$217))))</f>
        <v/>
      </c>
      <c r="N20" s="209"/>
      <c r="O20" s="209"/>
      <c r="P20" s="209"/>
      <c r="Q20" s="209"/>
      <c r="R20" s="209"/>
      <c r="S20" s="209"/>
      <c r="T20" s="209"/>
    </row>
    <row r="21" spans="1:20" ht="15.9" thickTop="1" thickBot="1" x14ac:dyDescent="0.4">
      <c r="A21" s="40">
        <v>17</v>
      </c>
      <c r="B21" s="204" t="str">
        <f>IF(Illuminazione_naturale!B21="","",Illuminazione_naturale!B21)</f>
        <v/>
      </c>
      <c r="C21" s="190"/>
      <c r="D21" s="190"/>
      <c r="E21" s="296"/>
      <c r="F21" s="297"/>
      <c r="G21" s="41" t="str">
        <f t="shared" si="2"/>
        <v/>
      </c>
      <c r="H21" s="203" t="str">
        <f t="shared" si="3"/>
        <v/>
      </c>
      <c r="I21" s="41">
        <f>Illuminazione_naturale!W21</f>
        <v>0</v>
      </c>
      <c r="J21" s="41" t="str">
        <f t="shared" si="0"/>
        <v/>
      </c>
      <c r="K21" s="41">
        <f>Illuminazione_naturale!S21*Illuminazione_naturale!H21</f>
        <v>0</v>
      </c>
      <c r="L21" s="41" t="str">
        <f t="shared" si="1"/>
        <v/>
      </c>
      <c r="M21" s="41" t="str">
        <f>IF(L21="","",IF(L21=3,Texte!$B$214,IF(L21=2,Texte!$B$215,IF(L21=1,Texte!$B$216,Texte!$B$217))))</f>
        <v/>
      </c>
      <c r="N21" s="209"/>
      <c r="O21" s="209"/>
      <c r="P21" s="209"/>
      <c r="Q21" s="209"/>
      <c r="R21" s="209"/>
      <c r="S21" s="209"/>
      <c r="T21" s="209"/>
    </row>
    <row r="22" spans="1:20" ht="15.9" thickTop="1" thickBot="1" x14ac:dyDescent="0.4">
      <c r="A22" s="40">
        <v>18</v>
      </c>
      <c r="B22" s="204" t="str">
        <f>IF(Illuminazione_naturale!B22="","",Illuminazione_naturale!B22)</f>
        <v/>
      </c>
      <c r="C22" s="190"/>
      <c r="D22" s="190"/>
      <c r="E22" s="302"/>
      <c r="F22" s="303"/>
      <c r="G22" s="41" t="str">
        <f t="shared" si="2"/>
        <v/>
      </c>
      <c r="H22" s="203" t="str">
        <f t="shared" si="3"/>
        <v/>
      </c>
      <c r="I22" s="41">
        <f>Illuminazione_naturale!W22</f>
        <v>0</v>
      </c>
      <c r="J22" s="41" t="str">
        <f t="shared" si="0"/>
        <v/>
      </c>
      <c r="K22" s="41">
        <f>Illuminazione_naturale!S22*Illuminazione_naturale!H22</f>
        <v>0</v>
      </c>
      <c r="L22" s="41" t="str">
        <f t="shared" si="1"/>
        <v/>
      </c>
      <c r="M22" s="41" t="str">
        <f>IF(L22="","",IF(L22=3,Texte!$B$214,IF(L22=2,Texte!$B$215,IF(L22=1,Texte!$B$216,Texte!$B$217))))</f>
        <v/>
      </c>
      <c r="N22" s="209"/>
      <c r="O22" s="209"/>
      <c r="P22" s="209"/>
      <c r="Q22" s="209"/>
      <c r="R22" s="209"/>
      <c r="S22" s="209"/>
      <c r="T22" s="209"/>
    </row>
    <row r="23" spans="1:20" ht="15.9" thickTop="1" thickBot="1" x14ac:dyDescent="0.4">
      <c r="A23" s="40">
        <v>19</v>
      </c>
      <c r="B23" s="204" t="str">
        <f>IF(Illuminazione_naturale!B23="","",Illuminazione_naturale!B23)</f>
        <v/>
      </c>
      <c r="C23" s="190"/>
      <c r="D23" s="190"/>
      <c r="E23" s="296"/>
      <c r="F23" s="297"/>
      <c r="G23" s="41" t="str">
        <f t="shared" si="2"/>
        <v/>
      </c>
      <c r="H23" s="203" t="str">
        <f t="shared" si="3"/>
        <v/>
      </c>
      <c r="I23" s="41">
        <f>Illuminazione_naturale!W23</f>
        <v>0</v>
      </c>
      <c r="J23" s="41" t="str">
        <f t="shared" si="0"/>
        <v/>
      </c>
      <c r="K23" s="41">
        <f>Illuminazione_naturale!S23*Illuminazione_naturale!H23</f>
        <v>0</v>
      </c>
      <c r="L23" s="41" t="str">
        <f t="shared" si="1"/>
        <v/>
      </c>
      <c r="M23" s="41" t="str">
        <f>IF(L23="","",IF(L23=3,Texte!$B$214,IF(L23=2,Texte!$B$215,IF(L23=1,Texte!$B$216,Texte!$B$217))))</f>
        <v/>
      </c>
      <c r="N23" s="209"/>
      <c r="O23" s="209"/>
      <c r="P23" s="209"/>
      <c r="Q23" s="209"/>
      <c r="R23" s="209"/>
      <c r="S23" s="209"/>
      <c r="T23" s="209"/>
    </row>
    <row r="24" spans="1:20" ht="15.9" thickTop="1" thickBot="1" x14ac:dyDescent="0.4">
      <c r="A24" s="40">
        <v>20</v>
      </c>
      <c r="B24" s="204" t="str">
        <f>IF(Illuminazione_naturale!B24="","",Illuminazione_naturale!B24)</f>
        <v/>
      </c>
      <c r="C24" s="190"/>
      <c r="D24" s="190"/>
      <c r="E24" s="296"/>
      <c r="F24" s="297"/>
      <c r="G24" s="41" t="str">
        <f t="shared" si="2"/>
        <v/>
      </c>
      <c r="H24" s="203" t="str">
        <f t="shared" si="3"/>
        <v/>
      </c>
      <c r="I24" s="41">
        <f>Illuminazione_naturale!W24</f>
        <v>0</v>
      </c>
      <c r="J24" s="41" t="str">
        <f t="shared" si="0"/>
        <v/>
      </c>
      <c r="K24" s="41">
        <f>Illuminazione_naturale!S24*Illuminazione_naturale!H24</f>
        <v>0</v>
      </c>
      <c r="L24" s="41" t="str">
        <f t="shared" si="1"/>
        <v/>
      </c>
      <c r="M24" s="41" t="str">
        <f>IF(L24="","",IF(L24=3,Texte!$B$214,IF(L24=2,Texte!$B$215,IF(L24=1,Texte!$B$216,Texte!$B$217))))</f>
        <v/>
      </c>
      <c r="N24" s="209"/>
      <c r="O24" s="209"/>
      <c r="P24" s="209"/>
      <c r="Q24" s="209"/>
      <c r="R24" s="209"/>
      <c r="S24" s="209"/>
      <c r="T24" s="209"/>
    </row>
    <row r="25" spans="1:20" ht="15.9" thickTop="1" thickBot="1" x14ac:dyDescent="0.4">
      <c r="A25" s="40">
        <v>21</v>
      </c>
      <c r="B25" s="204" t="str">
        <f>IF(Illuminazione_naturale!B25="","",Illuminazione_naturale!B25)</f>
        <v/>
      </c>
      <c r="C25" s="190"/>
      <c r="D25" s="190"/>
      <c r="E25" s="296"/>
      <c r="F25" s="297"/>
      <c r="G25" s="41" t="str">
        <f t="shared" si="2"/>
        <v/>
      </c>
      <c r="H25" s="203" t="str">
        <f t="shared" si="3"/>
        <v/>
      </c>
      <c r="I25" s="41">
        <f>Illuminazione_naturale!W25</f>
        <v>0</v>
      </c>
      <c r="J25" s="41" t="str">
        <f t="shared" si="0"/>
        <v/>
      </c>
      <c r="K25" s="41">
        <f>Illuminazione_naturale!S25*Illuminazione_naturale!H25</f>
        <v>0</v>
      </c>
      <c r="L25" s="41" t="str">
        <f t="shared" si="1"/>
        <v/>
      </c>
      <c r="M25" s="41" t="str">
        <f>IF(L25="","",IF(L25=3,Texte!$B$214,IF(L25=2,Texte!$B$215,IF(L25=1,Texte!$B$216,Texte!$B$217))))</f>
        <v/>
      </c>
      <c r="N25" s="209"/>
      <c r="O25" s="209"/>
      <c r="P25" s="209"/>
      <c r="Q25" s="209"/>
      <c r="R25" s="209"/>
      <c r="S25" s="209"/>
      <c r="T25" s="209"/>
    </row>
    <row r="26" spans="1:20" ht="15.9" thickTop="1" thickBot="1" x14ac:dyDescent="0.4">
      <c r="A26" s="40">
        <v>22</v>
      </c>
      <c r="B26" s="204" t="str">
        <f>IF(Illuminazione_naturale!B26="","",Illuminazione_naturale!B26)</f>
        <v/>
      </c>
      <c r="C26" s="190"/>
      <c r="D26" s="190"/>
      <c r="E26" s="296"/>
      <c r="F26" s="297"/>
      <c r="G26" s="41" t="str">
        <f t="shared" si="2"/>
        <v/>
      </c>
      <c r="H26" s="203" t="str">
        <f t="shared" si="3"/>
        <v/>
      </c>
      <c r="I26" s="41">
        <f>Illuminazione_naturale!W26</f>
        <v>0</v>
      </c>
      <c r="J26" s="41" t="str">
        <f t="shared" si="0"/>
        <v/>
      </c>
      <c r="K26" s="41">
        <f>Illuminazione_naturale!S26*Illuminazione_naturale!H26</f>
        <v>0</v>
      </c>
      <c r="L26" s="41" t="str">
        <f t="shared" si="1"/>
        <v/>
      </c>
      <c r="M26" s="41" t="str">
        <f>IF(L26="","",IF(L26=3,Texte!$B$214,IF(L26=2,Texte!$B$215,IF(L26=1,Texte!$B$216,Texte!$B$217))))</f>
        <v/>
      </c>
      <c r="N26" s="209"/>
      <c r="O26" s="209"/>
      <c r="P26" s="209"/>
      <c r="Q26" s="209"/>
      <c r="R26" s="209"/>
      <c r="S26" s="209"/>
      <c r="T26" s="209"/>
    </row>
    <row r="27" spans="1:20" ht="15.9" thickTop="1" thickBot="1" x14ac:dyDescent="0.4">
      <c r="A27" s="40">
        <v>23</v>
      </c>
      <c r="B27" s="204" t="str">
        <f>IF(Illuminazione_naturale!B27="","",Illuminazione_naturale!B27)</f>
        <v/>
      </c>
      <c r="C27" s="190"/>
      <c r="D27" s="190"/>
      <c r="E27" s="296"/>
      <c r="F27" s="297"/>
      <c r="G27" s="41" t="str">
        <f t="shared" si="2"/>
        <v/>
      </c>
      <c r="H27" s="203" t="str">
        <f t="shared" si="3"/>
        <v/>
      </c>
      <c r="I27" s="41">
        <f>Illuminazione_naturale!W27</f>
        <v>0</v>
      </c>
      <c r="J27" s="41" t="str">
        <f t="shared" si="0"/>
        <v/>
      </c>
      <c r="K27" s="41">
        <f>Illuminazione_naturale!S27*Illuminazione_naturale!H27</f>
        <v>0</v>
      </c>
      <c r="L27" s="41" t="str">
        <f t="shared" si="1"/>
        <v/>
      </c>
      <c r="M27" s="41" t="str">
        <f>IF(L27="","",IF(L27=3,Texte!$B$214,IF(L27=2,Texte!$B$215,IF(L27=1,Texte!$B$216,Texte!$B$217))))</f>
        <v/>
      </c>
      <c r="N27" s="209"/>
      <c r="O27" s="209"/>
      <c r="P27" s="209"/>
      <c r="Q27" s="209"/>
      <c r="R27" s="209"/>
      <c r="S27" s="209"/>
      <c r="T27" s="209"/>
    </row>
    <row r="28" spans="1:20" ht="15.9" thickTop="1" thickBot="1" x14ac:dyDescent="0.4">
      <c r="A28" s="40">
        <v>24</v>
      </c>
      <c r="B28" s="204" t="str">
        <f>IF(Illuminazione_naturale!B28="","",Illuminazione_naturale!B28)</f>
        <v/>
      </c>
      <c r="C28" s="190"/>
      <c r="D28" s="190"/>
      <c r="E28" s="296"/>
      <c r="F28" s="297"/>
      <c r="G28" s="41" t="str">
        <f t="shared" si="2"/>
        <v/>
      </c>
      <c r="H28" s="203" t="str">
        <f t="shared" si="3"/>
        <v/>
      </c>
      <c r="I28" s="41">
        <f>Illuminazione_naturale!W28</f>
        <v>0</v>
      </c>
      <c r="J28" s="41" t="str">
        <f t="shared" si="0"/>
        <v/>
      </c>
      <c r="K28" s="41">
        <f>Illuminazione_naturale!S28*Illuminazione_naturale!H28</f>
        <v>0</v>
      </c>
      <c r="L28" s="41" t="str">
        <f t="shared" si="1"/>
        <v/>
      </c>
      <c r="M28" s="41" t="str">
        <f>IF(L28="","",IF(L28=3,Texte!$B$214,IF(L28=2,Texte!$B$215,IF(L28=1,Texte!$B$216,Texte!$B$217))))</f>
        <v/>
      </c>
      <c r="N28" s="209"/>
      <c r="O28" s="209"/>
      <c r="P28" s="209"/>
      <c r="Q28" s="209"/>
      <c r="R28" s="209"/>
      <c r="S28" s="209"/>
      <c r="T28" s="209"/>
    </row>
    <row r="29" spans="1:20" ht="15.9" thickTop="1" thickBot="1" x14ac:dyDescent="0.4">
      <c r="A29" s="40">
        <v>25</v>
      </c>
      <c r="B29" s="204" t="str">
        <f>IF(Illuminazione_naturale!B29="","",Illuminazione_naturale!B29)</f>
        <v/>
      </c>
      <c r="C29" s="190"/>
      <c r="D29" s="190"/>
      <c r="E29" s="296"/>
      <c r="F29" s="297"/>
      <c r="G29" s="41" t="str">
        <f t="shared" si="2"/>
        <v/>
      </c>
      <c r="H29" s="203" t="str">
        <f t="shared" si="3"/>
        <v/>
      </c>
      <c r="I29" s="41">
        <f>Illuminazione_naturale!W29</f>
        <v>0</v>
      </c>
      <c r="J29" s="41" t="str">
        <f t="shared" si="0"/>
        <v/>
      </c>
      <c r="K29" s="41">
        <f>Illuminazione_naturale!S29*Illuminazione_naturale!H29</f>
        <v>0</v>
      </c>
      <c r="L29" s="41" t="str">
        <f t="shared" si="1"/>
        <v/>
      </c>
      <c r="M29" s="41" t="str">
        <f>IF(L29="","",IF(L29=3,Texte!$B$214,IF(L29=2,Texte!$B$215,IF(L29=1,Texte!$B$216,Texte!$B$217))))</f>
        <v/>
      </c>
      <c r="N29" s="209"/>
      <c r="O29" s="209"/>
      <c r="P29" s="209"/>
      <c r="Q29" s="209"/>
      <c r="R29" s="209"/>
      <c r="S29" s="209"/>
      <c r="T29" s="209"/>
    </row>
    <row r="30" spans="1:20" ht="15.9" thickTop="1" thickBot="1" x14ac:dyDescent="0.4">
      <c r="A30" s="40">
        <v>26</v>
      </c>
      <c r="B30" s="204" t="str">
        <f>IF(Illuminazione_naturale!B30="","",Illuminazione_naturale!B30)</f>
        <v/>
      </c>
      <c r="C30" s="190"/>
      <c r="D30" s="190"/>
      <c r="E30" s="296"/>
      <c r="F30" s="297"/>
      <c r="G30" s="41" t="str">
        <f t="shared" si="2"/>
        <v/>
      </c>
      <c r="H30" s="203" t="str">
        <f t="shared" si="3"/>
        <v/>
      </c>
      <c r="I30" s="41">
        <f>Illuminazione_naturale!W30</f>
        <v>0</v>
      </c>
      <c r="J30" s="41" t="str">
        <f t="shared" si="0"/>
        <v/>
      </c>
      <c r="K30" s="41">
        <f>Illuminazione_naturale!S30*Illuminazione_naturale!H30</f>
        <v>0</v>
      </c>
      <c r="L30" s="41" t="str">
        <f t="shared" si="1"/>
        <v/>
      </c>
      <c r="M30" s="41" t="str">
        <f>IF(L30="","",IF(L30=3,Texte!$B$214,IF(L30=2,Texte!$B$215,IF(L30=1,Texte!$B$216,Texte!$B$217))))</f>
        <v/>
      </c>
      <c r="N30" s="209"/>
      <c r="O30" s="209"/>
      <c r="P30" s="209"/>
      <c r="Q30" s="209"/>
      <c r="R30" s="209"/>
      <c r="S30" s="209"/>
      <c r="T30" s="209"/>
    </row>
    <row r="31" spans="1:20" ht="15.9" thickTop="1" thickBot="1" x14ac:dyDescent="0.4">
      <c r="A31" s="40">
        <v>27</v>
      </c>
      <c r="B31" s="204" t="str">
        <f>IF(Illuminazione_naturale!B31="","",Illuminazione_naturale!B31)</f>
        <v/>
      </c>
      <c r="C31" s="190"/>
      <c r="D31" s="190"/>
      <c r="E31" s="296"/>
      <c r="F31" s="297"/>
      <c r="G31" s="41" t="str">
        <f t="shared" si="2"/>
        <v/>
      </c>
      <c r="H31" s="203" t="str">
        <f t="shared" si="3"/>
        <v/>
      </c>
      <c r="I31" s="41">
        <f>Illuminazione_naturale!W31</f>
        <v>0</v>
      </c>
      <c r="J31" s="41" t="str">
        <f t="shared" si="0"/>
        <v/>
      </c>
      <c r="K31" s="41">
        <f>Illuminazione_naturale!S31*Illuminazione_naturale!H31</f>
        <v>0</v>
      </c>
      <c r="L31" s="41" t="str">
        <f t="shared" si="1"/>
        <v/>
      </c>
      <c r="M31" s="41" t="str">
        <f>IF(L31="","",IF(L31=3,Texte!$B$214,IF(L31=2,Texte!$B$215,IF(L31=1,Texte!$B$216,Texte!$B$217))))</f>
        <v/>
      </c>
      <c r="N31" s="209"/>
      <c r="O31" s="209"/>
      <c r="P31" s="209"/>
      <c r="Q31" s="209"/>
      <c r="R31" s="209"/>
      <c r="S31" s="209"/>
      <c r="T31" s="209"/>
    </row>
    <row r="32" spans="1:20" ht="15.9" thickTop="1" thickBot="1" x14ac:dyDescent="0.4">
      <c r="A32" s="40">
        <v>28</v>
      </c>
      <c r="B32" s="204" t="str">
        <f>IF(Illuminazione_naturale!B32="","",Illuminazione_naturale!B32)</f>
        <v/>
      </c>
      <c r="C32" s="190"/>
      <c r="D32" s="190"/>
      <c r="E32" s="296"/>
      <c r="F32" s="297"/>
      <c r="G32" s="41" t="str">
        <f t="shared" si="2"/>
        <v/>
      </c>
      <c r="H32" s="203" t="str">
        <f t="shared" si="3"/>
        <v/>
      </c>
      <c r="I32" s="41">
        <f>Illuminazione_naturale!W32</f>
        <v>0</v>
      </c>
      <c r="J32" s="41" t="str">
        <f t="shared" si="0"/>
        <v/>
      </c>
      <c r="K32" s="41">
        <f>Illuminazione_naturale!S32*Illuminazione_naturale!H32</f>
        <v>0</v>
      </c>
      <c r="L32" s="41" t="str">
        <f t="shared" si="1"/>
        <v/>
      </c>
      <c r="M32" s="41" t="str">
        <f>IF(L32="","",IF(L32=3,Texte!$B$214,IF(L32=2,Texte!$B$215,IF(L32=1,Texte!$B$216,Texte!$B$217))))</f>
        <v/>
      </c>
      <c r="N32" s="209"/>
      <c r="O32" s="209"/>
      <c r="P32" s="209"/>
      <c r="Q32" s="209"/>
      <c r="R32" s="209"/>
      <c r="S32" s="209"/>
      <c r="T32" s="209"/>
    </row>
    <row r="33" spans="1:20" ht="15.9" thickTop="1" thickBot="1" x14ac:dyDescent="0.4">
      <c r="A33" s="40">
        <v>29</v>
      </c>
      <c r="B33" s="204" t="str">
        <f>IF(Illuminazione_naturale!B33="","",Illuminazione_naturale!B33)</f>
        <v/>
      </c>
      <c r="C33" s="190"/>
      <c r="D33" s="190"/>
      <c r="E33" s="296"/>
      <c r="F33" s="297"/>
      <c r="G33" s="41" t="str">
        <f t="shared" si="2"/>
        <v/>
      </c>
      <c r="H33" s="203" t="str">
        <f t="shared" si="3"/>
        <v/>
      </c>
      <c r="I33" s="41">
        <f>Illuminazione_naturale!W33</f>
        <v>0</v>
      </c>
      <c r="J33" s="41" t="str">
        <f t="shared" si="0"/>
        <v/>
      </c>
      <c r="K33" s="41">
        <f>Illuminazione_naturale!S33*Illuminazione_naturale!H33</f>
        <v>0</v>
      </c>
      <c r="L33" s="41" t="str">
        <f t="shared" si="1"/>
        <v/>
      </c>
      <c r="M33" s="41" t="str">
        <f>IF(L33="","",IF(L33=3,Texte!$B$214,IF(L33=2,Texte!$B$215,IF(L33=1,Texte!$B$216,Texte!$B$217))))</f>
        <v/>
      </c>
      <c r="N33" s="209"/>
      <c r="O33" s="209"/>
      <c r="P33" s="209"/>
      <c r="Q33" s="209"/>
      <c r="R33" s="209"/>
      <c r="S33" s="209"/>
      <c r="T33" s="209"/>
    </row>
    <row r="34" spans="1:20" ht="15.9" thickTop="1" thickBot="1" x14ac:dyDescent="0.4">
      <c r="A34" s="40">
        <v>30</v>
      </c>
      <c r="B34" s="204" t="str">
        <f>IF(Illuminazione_naturale!B34="","",Illuminazione_naturale!B34)</f>
        <v/>
      </c>
      <c r="C34" s="190"/>
      <c r="D34" s="190"/>
      <c r="E34" s="296"/>
      <c r="F34" s="297"/>
      <c r="G34" s="41" t="str">
        <f t="shared" si="2"/>
        <v/>
      </c>
      <c r="H34" s="203" t="str">
        <f t="shared" si="3"/>
        <v/>
      </c>
      <c r="I34" s="41">
        <f>Illuminazione_naturale!W34</f>
        <v>0</v>
      </c>
      <c r="J34" s="41" t="str">
        <f t="shared" si="0"/>
        <v/>
      </c>
      <c r="K34" s="41">
        <f>Illuminazione_naturale!S34*Illuminazione_naturale!H34</f>
        <v>0</v>
      </c>
      <c r="L34" s="41" t="str">
        <f t="shared" si="1"/>
        <v/>
      </c>
      <c r="M34" s="41" t="str">
        <f>IF(L34="","",IF(L34=3,Texte!$B$214,IF(L34=2,Texte!$B$215,IF(L34=1,Texte!$B$216,Texte!$B$217))))</f>
        <v/>
      </c>
      <c r="N34" s="209"/>
      <c r="O34" s="209"/>
      <c r="P34" s="209"/>
      <c r="Q34" s="209"/>
      <c r="R34" s="209"/>
      <c r="S34" s="209"/>
      <c r="T34" s="209"/>
    </row>
    <row r="35" spans="1:20" ht="15.9" thickTop="1" thickBot="1" x14ac:dyDescent="0.4">
      <c r="A35" s="103"/>
      <c r="B35" s="103"/>
      <c r="K35" s="41">
        <f>SUM(K5:K34)</f>
        <v>0</v>
      </c>
      <c r="L35" s="41">
        <f>IFERROR(ROUND(SUMPRODUCT(L5:L34,K5:K34)/SummeRaumflaeche,1),0)</f>
        <v>0</v>
      </c>
      <c r="M35" s="41" t="str">
        <f>IF(L35="","",IF(L35&gt;=3,Texte!$B$214,IF(L35&gt;=2,Texte!$B$215,IF(L35&gt;=1,Texte!$B$216,Texte!$B$217))))</f>
        <v>insufficiente</v>
      </c>
      <c r="N35" s="209"/>
      <c r="O35" s="209"/>
      <c r="P35" s="209"/>
      <c r="Q35" s="209"/>
      <c r="R35" s="209"/>
      <c r="S35" s="209"/>
      <c r="T35" s="209"/>
    </row>
    <row r="36" spans="1:20" ht="21" customHeight="1" thickTop="1" x14ac:dyDescent="0.35">
      <c r="A36" s="94"/>
      <c r="B36" s="95" t="str">
        <f>VLOOKUP(ADDRESS(ROW(),COLUMN(),4),MatrixTexteT5,2,FALSE)</f>
        <v>Risultati</v>
      </c>
      <c r="C36" s="298" t="str">
        <f>VLOOKUP(ADDRESS(ROW(),COLUMN(),4),MatrixTexteT5,2,FALSE)</f>
        <v>Risultati di questo foglio</v>
      </c>
      <c r="D36" s="299"/>
      <c r="E36" s="165" t="str">
        <f>VLOOKUP(ADDRESS(ROW(),COLUMN(),4),MatrixTexteT5,2,FALSE)</f>
        <v>Riporto di un'altra prova</v>
      </c>
      <c r="F36" s="95"/>
      <c r="G36" s="165" t="str">
        <f>VLOOKUP(ADDRESS(ROW(),COLUMN(),4),MatrixTexteT5,2,FALSE)</f>
        <v>Risultati globali</v>
      </c>
      <c r="H36" s="191"/>
      <c r="L36" s="165" t="s">
        <v>1093</v>
      </c>
      <c r="M36" s="191"/>
      <c r="N36" s="209"/>
      <c r="O36" s="209"/>
      <c r="P36" s="209"/>
      <c r="Q36" s="209"/>
      <c r="R36" s="209"/>
      <c r="S36" s="209"/>
      <c r="T36" s="209"/>
    </row>
    <row r="37" spans="1:20" ht="15" customHeight="1" thickBot="1" x14ac:dyDescent="0.4">
      <c r="A37" s="32"/>
      <c r="B37" s="33" t="str">
        <f>VLOOKUP(ADDRESS(ROW(),COLUMN(),4),MatrixTexteT5,2,FALSE)</f>
        <v>Descrizione</v>
      </c>
      <c r="C37" s="192" t="str">
        <f>VLOOKUP(ADDRESS(ROW(),COLUMN(),4),MatrixTexteT5,2,FALSE)</f>
        <v>Superficie netto</v>
      </c>
      <c r="D37" s="192" t="str">
        <f>VLOOKUP(ADDRESS(ROW(),COLUMN(),4),MatrixTexteT5,2,FALSE)</f>
        <v>Risultato</v>
      </c>
      <c r="E37" s="192" t="str">
        <f>VLOOKUP(ADDRESS(ROW(),COLUMN(),4),MatrixTexteT5,2,FALSE)</f>
        <v>Superficie netto</v>
      </c>
      <c r="F37" s="192" t="str">
        <f>VLOOKUP(ADDRESS(ROW(),COLUMN(),4),MatrixTexteT5,2,FALSE)</f>
        <v>Risultato</v>
      </c>
      <c r="G37" s="192" t="str">
        <f>VLOOKUP(ADDRESS(ROW(),COLUMN(),4),MatrixTexteT5,2,FALSE)</f>
        <v>Superficie netto</v>
      </c>
      <c r="H37" s="192" t="str">
        <f>VLOOKUP(ADDRESS(ROW(),COLUMN(),4),MatrixTexteT5,2,FALSE)</f>
        <v>Risultato</v>
      </c>
      <c r="L37" s="192" t="s">
        <v>1098</v>
      </c>
      <c r="M37" s="192" t="s">
        <v>1097</v>
      </c>
      <c r="N37" s="209"/>
      <c r="O37" s="209"/>
      <c r="P37" s="209"/>
      <c r="Q37" s="209"/>
      <c r="R37" s="209"/>
      <c r="S37" s="209"/>
      <c r="T37" s="209"/>
    </row>
    <row r="38" spans="1:20" ht="15.9" thickTop="1" thickBot="1" x14ac:dyDescent="0.4">
      <c r="A38" s="59"/>
      <c r="B38" s="85" t="str">
        <f>VLOOKUP(ADDRESS(ROW(),COLUMN(),4),MatrixTexteT5,2,FALSE)</f>
        <v>Qualità della vista (in tutte le locali)</v>
      </c>
      <c r="C38" s="205">
        <f>K35</f>
        <v>0</v>
      </c>
      <c r="D38" s="202">
        <f>L35</f>
        <v>0</v>
      </c>
      <c r="E38" s="196"/>
      <c r="F38" s="200"/>
      <c r="G38" s="198">
        <f>C38+E38</f>
        <v>0</v>
      </c>
      <c r="H38" s="201" t="str">
        <f>M38</f>
        <v>insufficiente</v>
      </c>
      <c r="L38" s="41">
        <f>IFERROR(ROUND((L35*K35+F38*E38)/G38,0),0)</f>
        <v>0</v>
      </c>
      <c r="M38" s="41" t="str">
        <f>IF(L38="","",IF(L38=3,Texte!$B$214,IF(L38=2,Texte!$B$215,IF(L38=1,Texte!$B$216,Texte!$B$217))))</f>
        <v>insufficiente</v>
      </c>
      <c r="N38" s="209"/>
      <c r="O38" s="209"/>
      <c r="P38" s="209"/>
      <c r="Q38" s="209"/>
      <c r="R38" s="209"/>
      <c r="S38" s="209"/>
      <c r="T38" s="209"/>
    </row>
    <row r="39" spans="1:20" ht="15.9" thickTop="1" thickBot="1" x14ac:dyDescent="0.4">
      <c r="A39" s="59"/>
      <c r="B39" s="85" t="str">
        <f>IF(Bauvorhaben&lt;&gt;0,VLOOKUP(ADDRESS(ROW(),COLUMN(),4),MatrixTexteT5,2,FALSE)&amp;" (max. "&amp;TEXT(VLOOKUP(Bauvorhaben,MatrixBauvorhaben,2,FALSE),"0%")&amp;")",VLOOKUP(ADDRESS(ROW(),COLUMN(),4),MatrixTexteT5,2,FALSE))</f>
        <v>Quota di superficie con un risultato insufficiente</v>
      </c>
      <c r="C39" s="206" cm="1">
        <f t="array" ref="C39">SUMPRODUCT((L5:L34=0)*K5:K34)</f>
        <v>0</v>
      </c>
      <c r="D39" s="195">
        <f>IFERROR(SUMPRODUCT((L5:L34=0)*K5:K34)/K35,0)</f>
        <v>0</v>
      </c>
      <c r="E39" s="197"/>
      <c r="F39" s="194"/>
      <c r="G39" s="199">
        <f>C39+E39</f>
        <v>0</v>
      </c>
      <c r="H39" s="193">
        <f>IFERROR(G39/G38,0)</f>
        <v>0</v>
      </c>
      <c r="N39" s="209"/>
      <c r="O39" s="209"/>
      <c r="P39" s="209"/>
      <c r="Q39" s="209"/>
      <c r="R39" s="209"/>
      <c r="S39" s="209"/>
      <c r="T39" s="209"/>
    </row>
    <row r="40" spans="1:20" ht="25.5" customHeight="1" thickTop="1" thickBot="1" x14ac:dyDescent="0.4">
      <c r="A40" s="183"/>
      <c r="B40" s="184" t="str">
        <f>VLOOKUP(ADDRESS(ROW(),COLUMN(),4),MatrixTexteT5,2,FALSE)</f>
        <v>Le esigenze del complemento ECO</v>
      </c>
      <c r="C40" s="184"/>
      <c r="D40" s="184"/>
      <c r="E40" s="184"/>
      <c r="F40" s="184"/>
      <c r="G40" s="288" t="str">
        <f>IFERROR(IF(AND(L35&gt;1,H39&lt;(VLOOKUP(Bauvorhaben,MatrixBauvorhaben,2,FALSE))),Texte!$B$219,IF(AND(L35&gt;0,H39&lt;(VLOOKUP(Bauvorhaben,MatrixBauvorhaben,2,FALSE))),Texte!$B$220,Texte!$B$221)),Texte!$B$221)</f>
        <v>non sono soddisfatte</v>
      </c>
      <c r="H40" s="288"/>
      <c r="N40" s="209"/>
      <c r="O40" s="209"/>
      <c r="P40" s="209"/>
      <c r="Q40" s="209"/>
      <c r="R40" s="209"/>
      <c r="S40" s="209"/>
      <c r="T40" s="209"/>
    </row>
    <row r="41" spans="1:20" ht="15.45" thickTop="1" x14ac:dyDescent="0.35">
      <c r="A41" s="209"/>
      <c r="B41" s="209"/>
      <c r="C41" s="209"/>
      <c r="D41" s="209"/>
      <c r="E41" s="209"/>
      <c r="F41" s="209"/>
      <c r="G41" s="209"/>
      <c r="H41" s="209"/>
      <c r="N41" s="209"/>
      <c r="O41" s="209"/>
      <c r="P41" s="209"/>
      <c r="Q41" s="209"/>
      <c r="R41" s="209"/>
      <c r="S41" s="209"/>
      <c r="T41" s="209"/>
    </row>
    <row r="42" spans="1:20" x14ac:dyDescent="0.35">
      <c r="A42" s="209"/>
      <c r="B42" s="209"/>
      <c r="C42" s="209"/>
      <c r="D42" s="209"/>
      <c r="E42" s="209"/>
      <c r="F42" s="209"/>
      <c r="G42" s="209"/>
      <c r="H42" s="209"/>
      <c r="N42" s="209"/>
      <c r="O42" s="209"/>
      <c r="P42" s="209"/>
      <c r="Q42" s="209"/>
      <c r="R42" s="209"/>
      <c r="S42" s="209"/>
      <c r="T42" s="209"/>
    </row>
    <row r="43" spans="1:20" x14ac:dyDescent="0.35">
      <c r="A43" s="209"/>
      <c r="B43" s="209"/>
      <c r="C43" s="209"/>
      <c r="D43" s="209"/>
      <c r="E43" s="209"/>
      <c r="F43" s="209"/>
      <c r="G43" s="209"/>
      <c r="H43" s="209"/>
      <c r="N43" s="209"/>
      <c r="O43" s="209"/>
      <c r="P43" s="209"/>
      <c r="Q43" s="209"/>
      <c r="R43" s="209"/>
      <c r="S43" s="209"/>
      <c r="T43" s="209"/>
    </row>
    <row r="44" spans="1:20" x14ac:dyDescent="0.35">
      <c r="A44" s="209"/>
      <c r="B44" s="209"/>
      <c r="C44" s="209"/>
      <c r="D44" s="209"/>
      <c r="E44" s="209"/>
      <c r="F44" s="209"/>
      <c r="G44" s="209"/>
      <c r="H44" s="209"/>
      <c r="N44" s="209"/>
      <c r="O44" s="209"/>
      <c r="P44" s="209"/>
      <c r="Q44" s="209"/>
      <c r="R44" s="209"/>
      <c r="S44" s="209"/>
      <c r="T44" s="209"/>
    </row>
    <row r="45" spans="1:20" x14ac:dyDescent="0.35">
      <c r="A45" s="209"/>
      <c r="B45" s="209"/>
      <c r="C45" s="209"/>
      <c r="D45" s="209"/>
      <c r="E45" s="209"/>
      <c r="F45" s="209"/>
      <c r="G45" s="209"/>
      <c r="H45" s="209"/>
      <c r="N45" s="209"/>
      <c r="O45" s="209"/>
      <c r="P45" s="209"/>
      <c r="Q45" s="209"/>
      <c r="R45" s="209"/>
      <c r="S45" s="209"/>
      <c r="T45" s="209"/>
    </row>
    <row r="46" spans="1:20" x14ac:dyDescent="0.35">
      <c r="A46" s="209"/>
      <c r="B46" s="209"/>
      <c r="C46" s="209"/>
      <c r="D46" s="209"/>
      <c r="E46" s="209"/>
      <c r="F46" s="209"/>
      <c r="G46" s="209"/>
      <c r="H46" s="209"/>
      <c r="N46" s="209"/>
      <c r="O46" s="209"/>
      <c r="P46" s="209"/>
      <c r="Q46" s="209"/>
      <c r="R46" s="209"/>
      <c r="S46" s="209"/>
      <c r="T46" s="209"/>
    </row>
    <row r="47" spans="1:20" x14ac:dyDescent="0.35">
      <c r="A47" s="209"/>
      <c r="B47" s="209"/>
      <c r="C47" s="209"/>
      <c r="D47" s="209"/>
      <c r="E47" s="209"/>
      <c r="F47" s="209"/>
      <c r="G47" s="209"/>
      <c r="H47" s="209"/>
      <c r="N47" s="209"/>
      <c r="O47" s="209"/>
      <c r="P47" s="209"/>
      <c r="Q47" s="209"/>
      <c r="R47" s="209"/>
      <c r="S47" s="209"/>
      <c r="T47" s="209"/>
    </row>
    <row r="48" spans="1:20" x14ac:dyDescent="0.35">
      <c r="A48" s="209"/>
      <c r="B48" s="209"/>
      <c r="C48" s="209"/>
      <c r="D48" s="209"/>
      <c r="E48" s="209"/>
      <c r="F48" s="209"/>
      <c r="G48" s="209"/>
      <c r="H48" s="209"/>
      <c r="N48" s="209"/>
      <c r="O48" s="209"/>
      <c r="P48" s="209"/>
      <c r="Q48" s="209"/>
      <c r="R48" s="209"/>
      <c r="S48" s="209"/>
      <c r="T48" s="209"/>
    </row>
    <row r="49" spans="1:20" x14ac:dyDescent="0.35">
      <c r="A49" s="209"/>
      <c r="B49" s="209"/>
      <c r="C49" s="209"/>
      <c r="D49" s="209"/>
      <c r="E49" s="209"/>
      <c r="F49" s="209"/>
      <c r="G49" s="209"/>
      <c r="H49" s="209"/>
      <c r="N49" s="209"/>
      <c r="O49" s="209"/>
      <c r="P49" s="209"/>
      <c r="Q49" s="209"/>
      <c r="R49" s="209"/>
      <c r="S49" s="209"/>
      <c r="T49" s="209"/>
    </row>
    <row r="50" spans="1:20" x14ac:dyDescent="0.35">
      <c r="A50" s="209"/>
      <c r="B50" s="209"/>
      <c r="C50" s="209"/>
      <c r="D50" s="209"/>
      <c r="E50" s="209"/>
      <c r="F50" s="209"/>
      <c r="G50" s="209"/>
      <c r="H50" s="209"/>
      <c r="N50" s="209"/>
      <c r="O50" s="209"/>
      <c r="P50" s="209"/>
      <c r="Q50" s="209"/>
      <c r="R50" s="209"/>
      <c r="S50" s="209"/>
      <c r="T50" s="209"/>
    </row>
    <row r="51" spans="1:20" x14ac:dyDescent="0.35">
      <c r="A51" s="209"/>
      <c r="B51" s="209"/>
      <c r="C51" s="209"/>
      <c r="D51" s="209"/>
      <c r="E51" s="209"/>
      <c r="F51" s="209"/>
      <c r="G51" s="209"/>
      <c r="H51" s="209"/>
      <c r="N51" s="209"/>
      <c r="O51" s="209"/>
      <c r="P51" s="209"/>
      <c r="Q51" s="209"/>
      <c r="R51" s="209"/>
      <c r="S51" s="209"/>
      <c r="T51" s="209"/>
    </row>
    <row r="52" spans="1:20" x14ac:dyDescent="0.35">
      <c r="A52" s="209"/>
      <c r="B52" s="209"/>
      <c r="C52" s="209"/>
      <c r="D52" s="209"/>
      <c r="E52" s="209"/>
      <c r="F52" s="209"/>
      <c r="G52" s="209"/>
      <c r="H52" s="209"/>
      <c r="N52" s="209"/>
      <c r="O52" s="209"/>
      <c r="P52" s="209"/>
      <c r="Q52" s="209"/>
      <c r="R52" s="209"/>
      <c r="S52" s="209"/>
      <c r="T52" s="209"/>
    </row>
    <row r="53" spans="1:20" x14ac:dyDescent="0.35">
      <c r="A53" s="209"/>
      <c r="B53" s="209"/>
      <c r="C53" s="209"/>
      <c r="D53" s="209"/>
      <c r="E53" s="209"/>
      <c r="F53" s="209"/>
      <c r="G53" s="209"/>
      <c r="H53" s="209"/>
      <c r="N53" s="209"/>
      <c r="O53" s="209"/>
      <c r="P53" s="209"/>
      <c r="Q53" s="209"/>
      <c r="R53" s="209"/>
      <c r="S53" s="209"/>
      <c r="T53" s="209"/>
    </row>
    <row r="54" spans="1:20" x14ac:dyDescent="0.35">
      <c r="A54" s="209"/>
      <c r="B54" s="209"/>
      <c r="C54" s="209"/>
      <c r="D54" s="209"/>
      <c r="E54" s="209"/>
      <c r="F54" s="209"/>
      <c r="G54" s="209"/>
      <c r="H54" s="209"/>
      <c r="N54" s="209"/>
      <c r="O54" s="209"/>
      <c r="P54" s="209"/>
      <c r="Q54" s="209"/>
      <c r="R54" s="209"/>
      <c r="S54" s="209"/>
      <c r="T54" s="209"/>
    </row>
    <row r="55" spans="1:20" x14ac:dyDescent="0.35">
      <c r="A55" s="209"/>
      <c r="B55" s="209"/>
      <c r="C55" s="209"/>
      <c r="D55" s="209"/>
      <c r="E55" s="209"/>
      <c r="F55" s="209"/>
      <c r="G55" s="209"/>
      <c r="H55" s="209"/>
      <c r="N55" s="209"/>
      <c r="O55" s="209"/>
      <c r="P55" s="209"/>
      <c r="Q55" s="209"/>
      <c r="R55" s="209"/>
      <c r="S55" s="209"/>
      <c r="T55" s="209"/>
    </row>
    <row r="56" spans="1:20" x14ac:dyDescent="0.35">
      <c r="A56" s="209"/>
      <c r="B56" s="209"/>
      <c r="C56" s="209"/>
      <c r="D56" s="209"/>
      <c r="E56" s="209"/>
      <c r="F56" s="209"/>
      <c r="G56" s="209"/>
      <c r="H56" s="209"/>
      <c r="N56" s="209"/>
      <c r="O56" s="209"/>
      <c r="P56" s="209"/>
      <c r="Q56" s="209"/>
      <c r="R56" s="209"/>
      <c r="S56" s="209"/>
      <c r="T56" s="209"/>
    </row>
  </sheetData>
  <sheetProtection algorithmName="SHA-512" hashValue="YxusRrG5T8nlFUBGq8ZiU0b/mcJ9/IQErtBVb0gqqX+oQcJDoVPE1fpSeDadIOHElPi4pVyobDq/GgCmMYfAvQ==" saltValue="/7JMhhCNoWQ2zApl1y4V9w==" spinCount="100000" sheet="1" objects="1" scenarios="1"/>
  <mergeCells count="36">
    <mergeCell ref="I3:M3"/>
    <mergeCell ref="E10:F10"/>
    <mergeCell ref="E11:F11"/>
    <mergeCell ref="E12:F12"/>
    <mergeCell ref="E13:F13"/>
    <mergeCell ref="C3:F3"/>
    <mergeCell ref="G3:H3"/>
    <mergeCell ref="C36:D36"/>
    <mergeCell ref="E4:F4"/>
    <mergeCell ref="E5:F5"/>
    <mergeCell ref="E6:F6"/>
    <mergeCell ref="E7:F7"/>
    <mergeCell ref="E8:F8"/>
    <mergeCell ref="E9:F9"/>
    <mergeCell ref="E20:F20"/>
    <mergeCell ref="E21:F21"/>
    <mergeCell ref="E22:F22"/>
    <mergeCell ref="E23:F23"/>
    <mergeCell ref="E24:F24"/>
    <mergeCell ref="E25:F25"/>
    <mergeCell ref="E14:F14"/>
    <mergeCell ref="E15:F15"/>
    <mergeCell ref="E16:F16"/>
    <mergeCell ref="E17:F17"/>
    <mergeCell ref="E18:F18"/>
    <mergeCell ref="G40:H40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19:F19"/>
  </mergeCells>
  <dataValidations count="120"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34" xr:uid="{00000000-0002-0000-0300-000000000000}">
      <formula1>ListAussicht</formula1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34" xr:uid="{00000000-0002-0000-0300-000001000000}">
      <formula1>0</formula1>
      <formula2>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34" xr:uid="{00000000-0002-0000-0300-000002000000}">
      <formula1>0</formula1>
      <formula2>9999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5" xr:uid="{9BE8EDC8-6EFF-48D3-AE05-BB6B2C004BCE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6" xr:uid="{B074475D-5D9B-4F80-B1CB-3861A8BE2FD0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7" xr:uid="{BEBC62F3-828C-4FA9-9787-0118AFC555BD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8" xr:uid="{8B5E85A7-8D31-4559-9F60-B52EA5346653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9" xr:uid="{29D2B2FD-85CD-4BFB-9FEF-C144A2252470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10" xr:uid="{3F316C12-5F03-4AF0-A62A-941CF0B7397C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11" xr:uid="{1EBAA8C6-7CDA-4A8B-B855-67DF70FEB9C5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12" xr:uid="{55332FCA-B684-47A0-A773-4547D424324C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13" xr:uid="{180452EB-0462-48E2-BBCE-E5610C3C2AE2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14" xr:uid="{99F6AD34-1485-4288-8651-09FAAD496429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15" xr:uid="{9217D281-6145-48F5-A95C-236F2A1DBD6D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16" xr:uid="{975D86F0-D781-4A6C-A7E2-F185DF968A32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17" xr:uid="{5A795F89-721B-461D-B49A-6397DB0AABA0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18" xr:uid="{89C04487-83D3-4463-8D3E-A80206A9B1E7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19" xr:uid="{801F5AD8-DAEF-4763-B4E5-C8BD2535E272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20" xr:uid="{8D2666A9-6845-4CCC-9C96-1343C119A77A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21" xr:uid="{547B934A-40DE-4E50-B16E-54004E669818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22" xr:uid="{992197E3-47D4-4D2E-B2ED-5616A113E473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23" xr:uid="{9A906DFB-F8B7-4A2D-BB4A-AA1D22EA6B36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24" xr:uid="{8DA6DDA8-07D9-4A1B-A75A-88CBA30C3F9C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25" xr:uid="{5D8655C1-5C4E-4556-8D54-00338C004D2D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26" xr:uid="{ADD1E8ED-FDBE-4E97-B4DD-93DE22E6CEC5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27" xr:uid="{F218D0A6-2E9B-4C3C-A4ED-3A7D3FA771B2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28" xr:uid="{BA7C55A5-DB5A-4D8F-A449-9D3373C64DCC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29" xr:uid="{96EEEF16-29B0-4A3C-8F25-6405B7576172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30" xr:uid="{E447AD25-38CD-418D-8A21-F7A1D24D1697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31" xr:uid="{05810A6D-2535-4D76-991A-A8A22811E2CC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32" xr:uid="{C8F0C4A8-1774-4C11-927D-9F3309215E9F}">
      <formula1>0</formula1>
      <formula2>999</formula2>
    </dataValidation>
    <dataValidation type="decimal" allowBlank="1" showInputMessage="1" showErrorMessage="1" errorTitle="Errore" error="È necessario immettere valori compresi tra 0 e 999." promptTitle="Profondità dell'area usata" prompt="Immettere la profondità delle aree utilizzate in permanenza dalle persone (misurata dalla facciata)." sqref="C33" xr:uid="{B692D630-EABB-438F-97B7-7012062DB34D}">
      <formula1>0</formula1>
      <formula2>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5" xr:uid="{35DCACC3-054A-40CF-A18F-1F7CA6C4CB58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6" xr:uid="{F95FCE2C-9ED6-48BD-805E-5F4724934395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7" xr:uid="{9F0CA1B7-E54F-4AC1-A1B6-18EEF9B2C93D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8" xr:uid="{6E073205-B93E-4C96-A9B6-AFF759DBD2A3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9" xr:uid="{B3D4A383-8C71-405F-A7FA-AF3B95D94FF1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10" xr:uid="{C4E9301B-4BD2-41C9-A75F-7AC52DDB14F9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11" xr:uid="{532B9319-A2E8-4889-B332-6109B535F7F1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12" xr:uid="{EE54A463-816B-4412-BE95-1229EA2F5141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13" xr:uid="{359D2954-78B6-40AC-94C8-23CA34252393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14" xr:uid="{6A9AC6F7-EC60-44C0-BAF1-C8D270AE9F6F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15" xr:uid="{C15A6607-F374-419D-8847-BFA63C13C239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16" xr:uid="{877F63ED-6E37-42B3-A6C2-77337617FA9F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17" xr:uid="{945F9902-17FC-46AD-8E2B-2F22CE6C6D3D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18" xr:uid="{197C3505-5A5E-4826-9641-3DD16D0F1ABE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19" xr:uid="{082BF4C9-1B3C-4172-B6A4-987647E538B2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20" xr:uid="{4AC69BFE-957D-438E-A2B5-D07A79BD8DA1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21" xr:uid="{CD67E27C-0DBF-4BF7-ACD8-122E5639F193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22" xr:uid="{71FF127A-4990-4ACD-8D12-CE0D456FC121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23" xr:uid="{6AA1075D-A161-4856-9DE6-33C7E1C232F7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24" xr:uid="{EA1C1E0E-C9C1-4DE1-AC24-FA2E9F06C2B8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25" xr:uid="{DE3B8D27-7641-4515-B861-EC62AA9F06D9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26" xr:uid="{CC51EE89-D31C-4E02-AEBE-7E0EB08017E4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27" xr:uid="{415F07AB-1B33-4823-A1E4-94CF44A6FADD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28" xr:uid="{D61CE771-84D9-4617-8384-2C3870B2E239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29" xr:uid="{5AAE3331-4F1E-4511-BE5E-21B9131E0D54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30" xr:uid="{04E0B56E-216E-49CB-B1A4-98E966FC1A18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31" xr:uid="{88B6B687-DBE7-4F01-8077-FAED88E7098B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32" xr:uid="{42D65455-7BCE-464E-9947-91FB8EC1A9F2}">
      <formula1>0</formula1>
      <formula2>9999</formula2>
    </dataValidation>
    <dataValidation type="whole" allowBlank="1" showInputMessage="1" showErrorMessage="1" errorTitle="Errore" error="È necessario immettere valori interi compresi tra 0 e 999." promptTitle="Raggio visivo" prompt="Immettere la distanza dall'oggetto successivo (misurata dalla facciata)." sqref="D33" xr:uid="{D7669E17-EC72-4189-8CD5-C2A8827B79F2}">
      <formula1>0</formula1>
      <formula2>9999</formula2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5" xr:uid="{6DCC9F47-35E5-46D3-8AC5-B27AE804EB5B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5" xr:uid="{441DD6D4-C7BC-4949-A396-94FECF887C06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6" xr:uid="{485A0C77-D88E-4303-9668-3549725B05F2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6" xr:uid="{BAC03A5C-261E-4843-9790-DC5355C82063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7" xr:uid="{AA7229C1-C1D7-49B5-BB31-ECF542B1701D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7" xr:uid="{EBC5E057-174B-45EA-A640-797E7C951A19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8" xr:uid="{426AA35B-7141-474E-9BAE-2ACEE731C9AE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8" xr:uid="{79E53C35-99D2-4256-AE32-49B0DE1D427C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9" xr:uid="{84DDA613-364E-4C25-B464-3172003F487A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9" xr:uid="{ADF6D19E-F940-43C9-B9C5-17E764EFDB40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10" xr:uid="{AA7B148F-671B-4FF6-8F98-2FC3B283488B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10" xr:uid="{C68A0E2B-77A4-44D5-9A65-7C44043EBA0F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11" xr:uid="{37613E6E-A07E-447E-99F3-DF4F2FF07232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11" xr:uid="{59550741-1741-4470-817F-5A87315A82DB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12" xr:uid="{D71D4F51-DDB0-404A-8811-3B4DD1BE949E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12" xr:uid="{F4DA9B22-3FC3-4B32-BEF5-BCE7BD4A96D5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13" xr:uid="{C7C19E9C-3F12-4652-B55C-D8079ED71930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13" xr:uid="{E5299D45-EA56-43BF-AE1E-6D171CC0EC63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14" xr:uid="{43280FC3-7E60-48EB-BC3A-D806991A602F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14" xr:uid="{14278567-2F93-41E9-987D-5C42240963BB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15" xr:uid="{10C955FD-3BA9-449D-B9C4-C1C36CBD3E74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15" xr:uid="{2090E681-9B30-4949-A389-84B4193AB4AE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16" xr:uid="{93042C66-DAD6-4688-B062-9A7827E66402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16" xr:uid="{F8BCD184-4C8F-4C39-AABB-D63A3C8AE231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17" xr:uid="{BDF48227-9503-4046-8237-A393431ED10B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17" xr:uid="{2B094E65-8E8F-402D-A3DC-E09777327DB7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18" xr:uid="{4E537E6C-57BB-4E83-AEF1-4E95ED700211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18" xr:uid="{C58117DC-B1BC-4CEE-A32B-893A32EDCB61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19" xr:uid="{6119C68A-4214-4773-818E-D842F2F1855B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19" xr:uid="{88D615AA-660A-4660-980C-10F3BE79C0AB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20" xr:uid="{BEB10C26-5A0F-4E74-88CB-CC43595C6B8A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20" xr:uid="{EFF313F6-13A0-4986-8832-ECFB12365A8E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21" xr:uid="{5062C35C-903F-4DC3-8BF3-780CA477C69D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21" xr:uid="{55D2B7A4-FA47-428C-911A-E1EEC56ECA12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22" xr:uid="{5FB87648-DC8E-4881-830A-AA4DE3E6E2C3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22" xr:uid="{BDA1D275-29D0-4951-8154-F87F83AAF4BE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23" xr:uid="{CE3520E2-F206-4982-B130-6ECD79CA7BB0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23" xr:uid="{E62326FD-4984-48BE-84C9-851B826AC5BA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24" xr:uid="{8BBEF612-9C1B-4E1E-B344-54D3356616CE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24" xr:uid="{EE2E96D8-D8E5-40EA-9666-116172CF716B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25" xr:uid="{04711DBE-F62B-411C-92ED-428D67AE3483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25" xr:uid="{EC4C941C-F751-40B1-8990-5EFF7FE0DC73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26" xr:uid="{95656148-0817-472D-9629-5EC90E814003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26" xr:uid="{1E8A5F0F-983E-4834-9958-0A59DD2ADECA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27" xr:uid="{016A389D-7DFE-4DB0-B10E-A05BFD6BE1A2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27" xr:uid="{7F7188FE-22D8-4EF7-B302-C838668E2055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28" xr:uid="{7FDFAA08-7DC1-48CA-9FB5-40DC8072146E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28" xr:uid="{4F8628E1-F6F9-4693-817E-BEA64C148AD6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29" xr:uid="{AAB522C4-AEF9-4F29-B7AA-2DEF68270D94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29" xr:uid="{4EAB94DA-9AF1-4C15-AA55-8A6661B0730B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30" xr:uid="{5EBA3592-F5BC-47C3-AFF9-C8A3862C3551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30" xr:uid="{1496A600-4468-4BE1-8F65-6B8D5384B0AD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31" xr:uid="{8D2C54EC-58DD-45AC-9F0F-EE52B284B06D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31" xr:uid="{12B5D625-B8ED-48E2-9C32-F6DE37B882E0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32" xr:uid="{4EE3E639-7BDB-44C9-B22B-A5C4F838AF6D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32" xr:uid="{19339ED5-15E6-48BB-AC72-93689B199FEE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33" xr:uid="{03E8BF08-DE34-49E5-9F76-40447425F52F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F33" xr:uid="{8A880110-D2B2-4443-9826-2162363DA5A4}">
      <formula1>ListAussicht</formula1>
    </dataValidation>
    <dataValidation type="list" allowBlank="1" showInputMessage="1" showErrorMessage="1" errorTitle="Errore" error="È necessario selezionare una voce dall' elenco." promptTitle="Livelli di visione" prompt="Selezionare i livelli visibili dal punto più lontano ad un'altezza di 1,2 metri (attività da seduti) o 1,7 metri (attività in piedi) quando si guarda attraverso la finestra." sqref="E34" xr:uid="{AF732ED8-D94D-40E1-A43A-67D3C1E06F78}">
      <formula1>ListAussicht</formula1>
    </dataValidation>
  </dataValidations>
  <pageMargins left="0.55118110236220474" right="0.55118110236220474" top="0.43307086614173229" bottom="0" header="0.51181102362204722" footer="0.27559055118110237"/>
  <pageSetup paperSize="9" scale="75" orientation="landscape" r:id="rId1"/>
  <headerFooter>
    <oddHeader>&amp;R&amp;G</oddHeader>
    <oddFooter>&amp;L&amp;10&amp;F&amp;R&amp;10&amp;P von &amp;N</oddFooter>
  </headerFooter>
  <ignoredErrors>
    <ignoredError sqref="B39" formula="1"/>
  </ignoredError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>
    <tabColor theme="5" tint="0.39997558519241921"/>
    <pageSetUpPr fitToPage="1"/>
  </sheetPr>
  <dimension ref="A1:M89"/>
  <sheetViews>
    <sheetView showGridLines="0" zoomScaleNormal="100" workbookViewId="0">
      <selection activeCell="E5" sqref="E5"/>
    </sheetView>
  </sheetViews>
  <sheetFormatPr baseColWidth="10" defaultColWidth="11.5625" defaultRowHeight="15" x14ac:dyDescent="0.35"/>
  <cols>
    <col min="1" max="3" width="25.75" style="3" customWidth="1"/>
    <col min="4" max="4" width="15.5625" style="3" customWidth="1"/>
    <col min="5" max="5" width="20.25" style="3" customWidth="1"/>
    <col min="6" max="6" width="12.3125" style="3" customWidth="1"/>
    <col min="7" max="7" width="16.0625" style="3" customWidth="1"/>
    <col min="8" max="13" width="7.3125" style="3" customWidth="1"/>
    <col min="14" max="16384" width="11.5625" style="3"/>
  </cols>
  <sheetData>
    <row r="1" spans="1:13" ht="28.5" customHeight="1" x14ac:dyDescent="0.6">
      <c r="A1" s="114" t="str">
        <f>IF(Projektbez="","",Projektbez&amp;" – ")&amp;VLOOKUP(ADDRESS(ROW(),COLUMN(),4),MatrixTexteT4,2,FALSE)</f>
        <v>Questionario ammodernamento</v>
      </c>
      <c r="B1" s="115"/>
      <c r="C1" s="115"/>
      <c r="D1" s="115"/>
      <c r="E1" s="5"/>
      <c r="F1" s="5"/>
      <c r="G1" s="5"/>
      <c r="H1" s="5"/>
      <c r="I1" s="5"/>
      <c r="J1" s="5"/>
      <c r="K1" s="5"/>
      <c r="L1" s="5"/>
      <c r="M1" s="5"/>
    </row>
    <row r="2" spans="1:13" ht="9" customHeight="1" x14ac:dyDescent="0.35"/>
    <row r="3" spans="1:13" ht="18.75" customHeight="1" x14ac:dyDescent="0.4">
      <c r="A3" s="62" t="str">
        <f>VLOOKUP(ADDRESS(ROW(),COLUMN(),4),MatrixTexteT4,2,FALSE)</f>
        <v>Domande</v>
      </c>
      <c r="B3" s="66"/>
      <c r="C3" s="66"/>
      <c r="D3" s="66"/>
      <c r="E3" s="62" t="str">
        <f>VLOOKUP(ADDRESS(ROW(),COLUMN(),4),MatrixTexteT4,2,FALSE)</f>
        <v>Risposte</v>
      </c>
      <c r="F3" s="7"/>
      <c r="G3" s="7"/>
      <c r="H3" s="7"/>
      <c r="I3" s="7"/>
      <c r="J3" s="7"/>
      <c r="K3" s="7"/>
    </row>
    <row r="4" spans="1:13" s="4" customFormat="1" ht="3.75" customHeight="1" x14ac:dyDescent="0.35">
      <c r="A4" s="35"/>
      <c r="B4" s="35"/>
      <c r="C4" s="35"/>
      <c r="D4" s="35"/>
      <c r="E4" s="35"/>
      <c r="F4" s="2"/>
    </row>
    <row r="5" spans="1:13" s="4" customFormat="1" ht="16.5" customHeight="1" x14ac:dyDescent="0.3">
      <c r="A5" s="84" t="str">
        <f>VLOOKUP(ADDRESS(ROW(),COLUMN(),4),MatrixTexteT4,2,FALSE)</f>
        <v>Le aperture delle finestre sono generalmente mantenute o aumentate?</v>
      </c>
      <c r="B5" s="69"/>
      <c r="C5" s="69"/>
      <c r="D5" s="70"/>
      <c r="E5" s="71"/>
      <c r="F5" s="2"/>
    </row>
    <row r="6" spans="1:13" s="4" customFormat="1" ht="3.75" customHeight="1" x14ac:dyDescent="0.35">
      <c r="A6" s="36"/>
      <c r="B6" s="36"/>
      <c r="C6" s="36"/>
      <c r="D6" s="79"/>
      <c r="E6" s="80"/>
      <c r="F6" s="2"/>
    </row>
    <row r="7" spans="1:13" s="4" customFormat="1" ht="16.5" customHeight="1" x14ac:dyDescent="0.3">
      <c r="A7" s="84" t="str">
        <f>VLOOKUP(ADDRESS(ROW(),COLUMN(),4),MatrixTexteT4,2,FALSE)</f>
        <v>Le superfici di vetro sono generalmente mantenute o aumentate?</v>
      </c>
      <c r="B7" s="69"/>
      <c r="C7" s="69"/>
      <c r="D7" s="70"/>
      <c r="E7" s="71"/>
      <c r="F7" s="2"/>
    </row>
    <row r="8" spans="1:13" s="4" customFormat="1" ht="3.75" customHeight="1" x14ac:dyDescent="0.35">
      <c r="A8" s="36"/>
      <c r="B8" s="36"/>
      <c r="C8" s="36"/>
      <c r="D8" s="79"/>
      <c r="E8" s="80"/>
      <c r="F8" s="2"/>
    </row>
    <row r="9" spans="1:13" s="4" customFormat="1" ht="16.5" customHeight="1" x14ac:dyDescent="0.3">
      <c r="A9" s="84" t="str">
        <f>VLOOKUP(ADDRESS(ROW(),COLUMN(),4),MatrixTexteT4,2,FALSE)</f>
        <v>Il vetro scelto posside un elevato fattore di trasmissione della luce diurna (Coeff. luminosità ≥ 70%)?</v>
      </c>
      <c r="B9" s="69"/>
      <c r="C9" s="69"/>
      <c r="D9" s="70"/>
      <c r="E9" s="71"/>
      <c r="F9" s="2"/>
    </row>
    <row r="10" spans="1:13" s="4" customFormat="1" ht="3.75" customHeight="1" x14ac:dyDescent="0.35">
      <c r="A10" s="36"/>
      <c r="B10" s="36"/>
      <c r="C10" s="36"/>
      <c r="D10" s="79"/>
      <c r="E10" s="80"/>
      <c r="F10" s="2"/>
      <c r="H10" s="8"/>
      <c r="J10" s="8"/>
    </row>
    <row r="11" spans="1:13" s="4" customFormat="1" ht="16.5" customHeight="1" x14ac:dyDescent="0.3">
      <c r="A11" s="84" t="str">
        <f>VLOOKUP(ADDRESS(ROW(),COLUMN(),4),MatrixTexteT4,2,FALSE)</f>
        <v>Non sono previsti nuovi elementi che ombreggiano la facciata (es. balconi, gronde, sporgenze…) ?</v>
      </c>
      <c r="B11" s="69"/>
      <c r="C11" s="69"/>
      <c r="D11" s="70"/>
      <c r="E11" s="71"/>
      <c r="F11" s="2"/>
      <c r="H11" s="11"/>
      <c r="J11" s="9"/>
    </row>
    <row r="12" spans="1:13" s="4" customFormat="1" ht="3.75" customHeight="1" x14ac:dyDescent="0.3">
      <c r="A12" s="67"/>
      <c r="B12" s="67"/>
      <c r="C12" s="67"/>
      <c r="D12" s="68"/>
      <c r="E12" s="80"/>
      <c r="F12" s="2"/>
      <c r="H12" s="12"/>
      <c r="J12" s="10"/>
    </row>
    <row r="13" spans="1:13" s="4" customFormat="1" ht="16.5" customHeight="1" x14ac:dyDescent="0.3">
      <c r="A13" s="84" t="str">
        <f>VLOOKUP(ADDRESS(ROW(),COLUMN(),4),MatrixTexteT4,2,FALSE)</f>
        <v>I locali sono dipinti con colori chiari?</v>
      </c>
      <c r="B13" s="69"/>
      <c r="C13" s="69"/>
      <c r="D13" s="70"/>
      <c r="E13" s="71"/>
      <c r="F13" s="2"/>
      <c r="H13" s="16"/>
    </row>
    <row r="14" spans="1:13" s="4" customFormat="1" ht="3.75" customHeight="1" x14ac:dyDescent="0.3">
      <c r="A14" s="67"/>
      <c r="B14" s="67"/>
      <c r="C14" s="67"/>
      <c r="D14" s="68"/>
      <c r="E14" s="81"/>
      <c r="F14" s="2"/>
      <c r="H14" s="16"/>
    </row>
    <row r="15" spans="1:13" s="4" customFormat="1" ht="6" customHeight="1" x14ac:dyDescent="0.3">
      <c r="A15" s="67"/>
      <c r="B15" s="67"/>
      <c r="C15" s="67"/>
      <c r="D15" s="68"/>
      <c r="E15" s="68"/>
      <c r="F15" s="2"/>
      <c r="H15" s="16"/>
    </row>
    <row r="16" spans="1:13" s="4" customFormat="1" ht="3.75" customHeight="1" x14ac:dyDescent="0.35">
      <c r="A16" s="35"/>
      <c r="B16" s="35"/>
      <c r="C16" s="35"/>
      <c r="D16" s="35"/>
      <c r="E16" s="82"/>
      <c r="F16" s="2"/>
    </row>
    <row r="17" spans="1:6" s="4" customFormat="1" ht="18.75" customHeight="1" x14ac:dyDescent="0.4">
      <c r="A17" s="62" t="str">
        <f>VLOOKUP(ADDRESS(ROW(),COLUMN(),4),MatrixTexteT4,2,FALSE)</f>
        <v>Riassunto</v>
      </c>
      <c r="B17" s="34"/>
      <c r="C17" s="34"/>
      <c r="D17" s="34"/>
      <c r="E17" s="34"/>
      <c r="F17" s="20"/>
    </row>
    <row r="18" spans="1:6" s="4" customFormat="1" ht="5.25" customHeight="1" x14ac:dyDescent="0.35">
      <c r="A18" s="35"/>
      <c r="B18" s="35"/>
      <c r="C18" s="35"/>
      <c r="D18" s="35"/>
      <c r="E18" s="82"/>
      <c r="F18" s="2"/>
    </row>
    <row r="19" spans="1:6" s="4" customFormat="1" ht="27.75" customHeight="1" x14ac:dyDescent="0.35">
      <c r="A19" s="308" t="str">
        <f>IF(Bauvorhaben="",Texte!$B$29,IF(Bauvorhaben=Neubau,Texte!$B$138,IF(AND(E5="",E7="",E9="",E11="",E13=""),Texte!$B$30,IF(AND(E5=Ja,E7=Ja,E9=Ja,E11=Ja,E13=Ja),Texte!$B$139,Texte!$B$140))))</f>
        <v>Immettere prima i dati dell’oggetto nella scheda 'Riassunto'.</v>
      </c>
      <c r="B19" s="308"/>
      <c r="C19" s="308"/>
      <c r="D19" s="308"/>
      <c r="E19" s="308"/>
      <c r="F19" s="13"/>
    </row>
    <row r="20" spans="1:6" s="4" customFormat="1" ht="10.5" customHeight="1" x14ac:dyDescent="0.35">
      <c r="A20" s="35"/>
      <c r="B20" s="35"/>
      <c r="C20" s="35"/>
      <c r="D20" s="35"/>
      <c r="E20" s="82"/>
      <c r="F20" s="2"/>
    </row>
    <row r="21" spans="1:6" s="4" customFormat="1" ht="18.75" customHeight="1" x14ac:dyDescent="0.4">
      <c r="A21" s="62" t="str">
        <f>VLOOKUP(ADDRESS(ROW(),COLUMN(),4),MatrixTexteT4,2,FALSE)</f>
        <v>Categorie degli edifici (cliccare su tasto)</v>
      </c>
      <c r="B21" s="34"/>
      <c r="C21" s="34"/>
      <c r="D21" s="34"/>
      <c r="E21" s="34"/>
      <c r="F21" s="20"/>
    </row>
    <row r="22" spans="1:6" s="4" customFormat="1" ht="9" customHeight="1" x14ac:dyDescent="0.4">
      <c r="A22" s="83"/>
      <c r="B22" s="83"/>
      <c r="C22" s="83"/>
      <c r="D22" s="83"/>
      <c r="E22" s="83"/>
      <c r="F22" s="20"/>
    </row>
    <row r="23" spans="1:6" s="4" customFormat="1" ht="23.25" customHeight="1" x14ac:dyDescent="0.4">
      <c r="A23" s="179" t="str">
        <f>VLOOKUP(ADDRESS(ROW(),COLUMN(),4),MatrixTexteT4,2,FALSE)</f>
        <v>Abitativo</v>
      </c>
      <c r="B23" s="180" t="str">
        <f>VLOOKUP(ADDRESS(ROW(),COLUMN(),4),MatrixTexteT4,2,FALSE)</f>
        <v>Amministrativo</v>
      </c>
      <c r="C23" s="180" t="str">
        <f>VLOOKUP(ADDRESS(ROW(),COLUMN(),4),MatrixTexteT4,2,FALSE)</f>
        <v>Scuola</v>
      </c>
      <c r="D23" s="309"/>
      <c r="E23" s="310"/>
      <c r="F23" s="20"/>
    </row>
    <row r="24" spans="1:6" s="4" customFormat="1" ht="6" customHeight="1" x14ac:dyDescent="0.35">
      <c r="A24" s="76"/>
      <c r="B24" s="77"/>
      <c r="C24" s="77"/>
      <c r="D24" s="78"/>
      <c r="E24" s="168"/>
      <c r="F24" s="2"/>
    </row>
    <row r="25" spans="1:6" s="6" customFormat="1" ht="87" customHeight="1" x14ac:dyDescent="0.35">
      <c r="A25" s="72" t="b">
        <f>IF($F$25=8,TRUE,FALSE)</f>
        <v>1</v>
      </c>
      <c r="B25" s="73" t="b">
        <f>IF($F$25=9,TRUE,FALSE)</f>
        <v>0</v>
      </c>
      <c r="C25" s="73" t="b">
        <f>IF($F$25=1,TRUE,FALSE)</f>
        <v>0</v>
      </c>
      <c r="D25" s="306" t="str">
        <f>VLOOKUP(ADDRESS(ROW(),COLUMN(),4),MatrixTexteT4,2,FALSE)</f>
        <v>Edificio con una piccola percentuale vetrata</v>
      </c>
      <c r="E25" s="307"/>
      <c r="F25" s="25">
        <v>8</v>
      </c>
    </row>
    <row r="26" spans="1:6" s="6" customFormat="1" ht="6.75" customHeight="1" x14ac:dyDescent="0.35">
      <c r="A26" s="74"/>
      <c r="B26" s="75"/>
      <c r="C26" s="75"/>
      <c r="D26" s="181"/>
      <c r="E26" s="182"/>
      <c r="F26" s="22"/>
    </row>
    <row r="27" spans="1:6" s="6" customFormat="1" ht="87" customHeight="1" x14ac:dyDescent="0.35">
      <c r="A27" s="72" t="b">
        <f>IF($F$25=7,TRUE,FALSE)</f>
        <v>0</v>
      </c>
      <c r="B27" s="73" t="b">
        <f>IF($F$25=6,TRUE,FALSE)</f>
        <v>0</v>
      </c>
      <c r="C27" s="73" t="b">
        <f>IF($F$25=2,TRUE,FALSE)</f>
        <v>0</v>
      </c>
      <c r="D27" s="306" t="str">
        <f>VLOOKUP(ADDRESS(ROW(),COLUMN(),4),MatrixTexteT4,2,FALSE)</f>
        <v>Edifico con una percentuale vetrata media</v>
      </c>
      <c r="E27" s="307"/>
      <c r="F27" s="23"/>
    </row>
    <row r="28" spans="1:6" s="6" customFormat="1" ht="6.75" customHeight="1" x14ac:dyDescent="0.35">
      <c r="A28" s="74"/>
      <c r="B28" s="75"/>
      <c r="C28" s="75"/>
      <c r="D28" s="181"/>
      <c r="E28" s="182"/>
      <c r="F28" s="22"/>
    </row>
    <row r="29" spans="1:6" s="6" customFormat="1" ht="87" customHeight="1" x14ac:dyDescent="0.35">
      <c r="A29" s="72" t="b">
        <f>IF($F$25=5,TRUE,FALSE)</f>
        <v>0</v>
      </c>
      <c r="B29" s="73" t="b">
        <f>IF($F$25=4,TRUE,FALSE)</f>
        <v>0</v>
      </c>
      <c r="C29" s="73" t="b">
        <f>IF($F$25=3,TRUE,FALSE)</f>
        <v>0</v>
      </c>
      <c r="D29" s="306" t="str">
        <f>VLOOKUP(ADDRESS(ROW(),COLUMN(),4),MatrixTexteT4,2,FALSE)</f>
        <v>Edificio con una grande percentuale vetrata</v>
      </c>
      <c r="E29" s="307"/>
      <c r="F29" s="23"/>
    </row>
    <row r="30" spans="1:6" s="6" customFormat="1" ht="6" customHeight="1" x14ac:dyDescent="0.35">
      <c r="A30" s="35"/>
      <c r="B30" s="35"/>
      <c r="C30" s="35"/>
      <c r="D30" s="35"/>
      <c r="E30" s="82"/>
      <c r="F30" s="23"/>
    </row>
    <row r="31" spans="1:6" s="2" customFormat="1" x14ac:dyDescent="0.35">
      <c r="A31" s="35"/>
      <c r="B31" s="35"/>
      <c r="C31" s="35"/>
      <c r="D31" s="35"/>
      <c r="E31" s="35"/>
    </row>
    <row r="32" spans="1:6" s="1" customFormat="1" ht="12.45" x14ac:dyDescent="0.3"/>
    <row r="33" s="1" customFormat="1" ht="12.45" x14ac:dyDescent="0.3"/>
    <row r="34" s="1" customFormat="1" ht="12.45" x14ac:dyDescent="0.3"/>
    <row r="35" s="1" customFormat="1" ht="12.45" x14ac:dyDescent="0.3"/>
    <row r="36" s="1" customFormat="1" ht="12.45" x14ac:dyDescent="0.3"/>
    <row r="37" s="1" customFormat="1" ht="12.45" x14ac:dyDescent="0.3"/>
    <row r="38" s="1" customFormat="1" ht="12.45" x14ac:dyDescent="0.3"/>
    <row r="39" s="1" customFormat="1" ht="12.45" x14ac:dyDescent="0.3"/>
    <row r="40" s="1" customFormat="1" ht="12.45" x14ac:dyDescent="0.3"/>
    <row r="41" s="1" customFormat="1" ht="12.45" x14ac:dyDescent="0.3"/>
    <row r="42" s="1" customFormat="1" ht="12.45" x14ac:dyDescent="0.3"/>
    <row r="43" s="1" customFormat="1" ht="12.45" x14ac:dyDescent="0.3"/>
    <row r="44" s="1" customFormat="1" ht="12.45" x14ac:dyDescent="0.3"/>
    <row r="45" s="1" customFormat="1" ht="12.45" x14ac:dyDescent="0.3"/>
    <row r="46" s="1" customFormat="1" ht="12.45" x14ac:dyDescent="0.3"/>
    <row r="89" spans="1:4" x14ac:dyDescent="0.35">
      <c r="A89" s="15">
        <v>5</v>
      </c>
      <c r="B89" s="15"/>
      <c r="C89" s="15"/>
      <c r="D89" s="15"/>
    </row>
  </sheetData>
  <sheetProtection algorithmName="SHA-512" hashValue="bVRHxp6At2ve6tMjOC7hm81bXLtG33Btw3499No0sXP29e1jEBDFDdfUTFWqNIKb9AICiUkxId53/F+5oTYC7Q==" saltValue="NOhFO2EvPjPUpts/oUva1g==" spinCount="100000" sheet="1" objects="1" scenarios="1"/>
  <mergeCells count="5">
    <mergeCell ref="D25:E25"/>
    <mergeCell ref="D27:E27"/>
    <mergeCell ref="D29:E29"/>
    <mergeCell ref="A19:E19"/>
    <mergeCell ref="D23:E23"/>
  </mergeCells>
  <phoneticPr fontId="0" type="noConversion"/>
  <conditionalFormatting sqref="A25:C29">
    <cfRule type="cellIs" dxfId="6" priority="2" stopIfTrue="1" operator="equal">
      <formula>TRUE</formula>
    </cfRule>
  </conditionalFormatting>
  <conditionalFormatting sqref="B23">
    <cfRule type="expression" dxfId="5" priority="3" stopIfTrue="1">
      <formula>OR($B$25=TRUE,$B$27=TRUE,$B$29=TRUE)</formula>
    </cfRule>
  </conditionalFormatting>
  <conditionalFormatting sqref="A23">
    <cfRule type="expression" dxfId="4" priority="4" stopIfTrue="1">
      <formula>OR($A$25=TRUE,$A$27=TRUE,$A$29=TRUE)</formula>
    </cfRule>
  </conditionalFormatting>
  <conditionalFormatting sqref="C23">
    <cfRule type="expression" dxfId="3" priority="5" stopIfTrue="1">
      <formula>OR($C$25=TRUE,$C$27=TRUE,$C$29=TRUE)</formula>
    </cfRule>
  </conditionalFormatting>
  <conditionalFormatting sqref="D25:E25">
    <cfRule type="expression" dxfId="2" priority="6" stopIfTrue="1">
      <formula>OR($A$25=TRUE,$B$25=TRUE,$C$25=TRUE)</formula>
    </cfRule>
  </conditionalFormatting>
  <conditionalFormatting sqref="D27:E27">
    <cfRule type="expression" dxfId="1" priority="7" stopIfTrue="1">
      <formula>OR($A$27=TRUE,$B$27=TRUE,$C$27=TRUE)</formula>
    </cfRule>
  </conditionalFormatting>
  <conditionalFormatting sqref="D29:E29">
    <cfRule type="expression" dxfId="0" priority="8" stopIfTrue="1">
      <formula>OR($A$29=TRUE,$B$29=TRUE,$C$29=TRUE)</formula>
    </cfRule>
  </conditionalFormatting>
  <dataValidations count="1">
    <dataValidation type="list" allowBlank="1" showInputMessage="1" showErrorMessage="1" sqref="E7 E5 E9 E11 E13:E14" xr:uid="{00000000-0002-0000-0400-000000000000}">
      <formula1>JaNein</formula1>
    </dataValidation>
  </dataValidations>
  <printOptions horizontalCentered="1"/>
  <pageMargins left="0.59055118110236227" right="0.59055118110236227" top="0.43307086614173229" bottom="0.39370078740157483" header="0.51181102362204722" footer="0.27559055118110237"/>
  <pageSetup paperSize="9" scale="95" orientation="landscape" horizontalDpi="4294967292" verticalDpi="300" r:id="rId1"/>
  <headerFooter alignWithMargins="0">
    <oddHeader>&amp;R&amp;G</oddHeader>
    <oddFooter>&amp;L&amp;10&amp;F&amp;R&amp;10&amp;P von &amp;N</oddFooter>
  </headerFooter>
  <ignoredErrors>
    <ignoredError sqref="A29:C29 A27:C27 A25:C25" unlockedFormula="1"/>
  </ignoredError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112" r:id="rId5" name="Option Button 200">
              <controlPr defaultSize="0" autoFill="0" autoLine="0" autoPict="0">
                <anchor moveWithCells="1">
                  <from>
                    <xdr:col>2</xdr:col>
                    <xdr:colOff>10886</xdr:colOff>
                    <xdr:row>24</xdr:row>
                    <xdr:rowOff>402771</xdr:rowOff>
                  </from>
                  <to>
                    <xdr:col>2</xdr:col>
                    <xdr:colOff>315686</xdr:colOff>
                    <xdr:row>24</xdr:row>
                    <xdr:rowOff>620486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4" r:id="rId6" name="Option Button 202">
              <controlPr defaultSize="0" autoFill="0" autoLine="0" autoPict="0">
                <anchor moveWithCells="1">
                  <from>
                    <xdr:col>2</xdr:col>
                    <xdr:colOff>32657</xdr:colOff>
                    <xdr:row>26</xdr:row>
                    <xdr:rowOff>419100</xdr:rowOff>
                  </from>
                  <to>
                    <xdr:col>2</xdr:col>
                    <xdr:colOff>337457</xdr:colOff>
                    <xdr:row>26</xdr:row>
                    <xdr:rowOff>642257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5" r:id="rId7" name="Option Button 203">
              <controlPr defaultSize="0" autoFill="0" autoLine="0" autoPict="0">
                <anchor moveWithCells="1">
                  <from>
                    <xdr:col>2</xdr:col>
                    <xdr:colOff>10886</xdr:colOff>
                    <xdr:row>28</xdr:row>
                    <xdr:rowOff>451757</xdr:rowOff>
                  </from>
                  <to>
                    <xdr:col>2</xdr:col>
                    <xdr:colOff>315686</xdr:colOff>
                    <xdr:row>28</xdr:row>
                    <xdr:rowOff>669471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6" r:id="rId8" name="Option Button 204">
              <controlPr defaultSize="0" autoFill="0" autoLine="0" autoPict="0">
                <anchor moveWithCells="1">
                  <from>
                    <xdr:col>1</xdr:col>
                    <xdr:colOff>10886</xdr:colOff>
                    <xdr:row>28</xdr:row>
                    <xdr:rowOff>429986</xdr:rowOff>
                  </from>
                  <to>
                    <xdr:col>1</xdr:col>
                    <xdr:colOff>315686</xdr:colOff>
                    <xdr:row>28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7" r:id="rId9" name="Option Button 205">
              <controlPr defaultSize="0" autoFill="0" autoLine="0" autoPict="0">
                <anchor moveWithCells="1">
                  <from>
                    <xdr:col>0</xdr:col>
                    <xdr:colOff>0</xdr:colOff>
                    <xdr:row>28</xdr:row>
                    <xdr:rowOff>419100</xdr:rowOff>
                  </from>
                  <to>
                    <xdr:col>0</xdr:col>
                    <xdr:colOff>304800</xdr:colOff>
                    <xdr:row>28</xdr:row>
                    <xdr:rowOff>642257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8" r:id="rId10" name="Option Button 206">
              <controlPr defaultSize="0" autoFill="0" autoLine="0" autoPict="0">
                <anchor moveWithCells="1">
                  <from>
                    <xdr:col>1</xdr:col>
                    <xdr:colOff>10886</xdr:colOff>
                    <xdr:row>26</xdr:row>
                    <xdr:rowOff>429986</xdr:rowOff>
                  </from>
                  <to>
                    <xdr:col>1</xdr:col>
                    <xdr:colOff>315686</xdr:colOff>
                    <xdr:row>26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9" r:id="rId11" name="Option Button 207">
              <controlPr defaultSize="0" autoFill="0" autoLine="0" autoPict="0">
                <anchor moveWithCells="1">
                  <from>
                    <xdr:col>0</xdr:col>
                    <xdr:colOff>0</xdr:colOff>
                    <xdr:row>26</xdr:row>
                    <xdr:rowOff>429986</xdr:rowOff>
                  </from>
                  <to>
                    <xdr:col>0</xdr:col>
                    <xdr:colOff>304800</xdr:colOff>
                    <xdr:row>26</xdr:row>
                    <xdr:rowOff>647700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0" r:id="rId12" name="Option Button 208">
              <controlPr defaultSize="0" autoFill="0" autoLine="0" autoPict="0">
                <anchor moveWithCells="1">
                  <from>
                    <xdr:col>0</xdr:col>
                    <xdr:colOff>0</xdr:colOff>
                    <xdr:row>24</xdr:row>
                    <xdr:rowOff>440871</xdr:rowOff>
                  </from>
                  <to>
                    <xdr:col>0</xdr:col>
                    <xdr:colOff>304800</xdr:colOff>
                    <xdr:row>24</xdr:row>
                    <xdr:rowOff>658586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1" r:id="rId13" name="Option Button 209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457200</xdr:rowOff>
                  </from>
                  <to>
                    <xdr:col>1</xdr:col>
                    <xdr:colOff>304800</xdr:colOff>
                    <xdr:row>24</xdr:row>
                    <xdr:rowOff>680357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"/>
  <dimension ref="A1:G115"/>
  <sheetViews>
    <sheetView workbookViewId="0">
      <selection activeCell="B5" sqref="B5"/>
    </sheetView>
  </sheetViews>
  <sheetFormatPr baseColWidth="10" defaultColWidth="11.5625" defaultRowHeight="11.6" x14ac:dyDescent="0.3"/>
  <cols>
    <col min="1" max="1" width="17.75" style="19" customWidth="1"/>
    <col min="2" max="2" width="20.6875" style="19" customWidth="1"/>
    <col min="3" max="3" width="11.6875" style="19" customWidth="1"/>
    <col min="4" max="4" width="14.75" style="19" customWidth="1"/>
    <col min="5" max="5" width="17.0625" style="19" customWidth="1"/>
    <col min="6" max="6" width="12.4375" style="19" bestFit="1" customWidth="1"/>
    <col min="7" max="7" width="31.875" style="19" bestFit="1" customWidth="1"/>
    <col min="8" max="8" width="12.6875" style="19" customWidth="1"/>
    <col min="9" max="18" width="9.5625" style="19" customWidth="1"/>
    <col min="19" max="16384" width="11.5625" style="19"/>
  </cols>
  <sheetData>
    <row r="1" spans="1:7" ht="22.3" x14ac:dyDescent="0.5">
      <c r="A1" s="63" t="s">
        <v>160</v>
      </c>
      <c r="B1" s="64"/>
      <c r="C1" s="64"/>
      <c r="D1" s="64"/>
      <c r="E1" s="258" t="s">
        <v>1089</v>
      </c>
    </row>
    <row r="2" spans="1:7" ht="9" customHeight="1" x14ac:dyDescent="0.5">
      <c r="A2" s="63"/>
      <c r="B2" s="64"/>
      <c r="C2" s="64"/>
      <c r="D2" s="64"/>
      <c r="E2" s="64"/>
    </row>
    <row r="3" spans="1:7" ht="12.45" x14ac:dyDescent="0.3">
      <c r="A3" s="37" t="s">
        <v>40</v>
      </c>
      <c r="B3" s="37" t="s">
        <v>472</v>
      </c>
      <c r="C3" s="37" t="s">
        <v>473</v>
      </c>
      <c r="D3" s="37" t="s">
        <v>474</v>
      </c>
      <c r="E3" s="37" t="s">
        <v>475</v>
      </c>
    </row>
    <row r="5" spans="1:7" x14ac:dyDescent="0.3">
      <c r="A5" s="17" t="s">
        <v>687</v>
      </c>
      <c r="B5" s="65" t="s">
        <v>45</v>
      </c>
      <c r="G5" s="215"/>
    </row>
    <row r="6" spans="1:7" x14ac:dyDescent="0.3">
      <c r="A6" s="17"/>
    </row>
    <row r="7" spans="1:7" x14ac:dyDescent="0.3">
      <c r="A7" s="17" t="s">
        <v>686</v>
      </c>
      <c r="B7" s="226">
        <v>2023</v>
      </c>
    </row>
    <row r="8" spans="1:7" x14ac:dyDescent="0.3">
      <c r="A8" s="17"/>
    </row>
    <row r="9" spans="1:7" x14ac:dyDescent="0.3">
      <c r="A9" s="17" t="s">
        <v>207</v>
      </c>
      <c r="B9" s="227" t="str">
        <f>Texte!$B$243</f>
        <v>Si</v>
      </c>
      <c r="D9" s="21"/>
    </row>
    <row r="10" spans="1:7" x14ac:dyDescent="0.3">
      <c r="A10" s="17"/>
      <c r="B10" s="227" t="str">
        <f>Texte!$B$244</f>
        <v>No</v>
      </c>
      <c r="D10" s="21"/>
    </row>
    <row r="11" spans="1:7" x14ac:dyDescent="0.3">
      <c r="A11" s="17"/>
      <c r="D11" s="21"/>
    </row>
    <row r="12" spans="1:7" x14ac:dyDescent="0.3">
      <c r="A12" s="17"/>
      <c r="D12" s="269" t="s">
        <v>1101</v>
      </c>
    </row>
    <row r="13" spans="1:7" x14ac:dyDescent="0.3">
      <c r="A13" s="17" t="s">
        <v>1014</v>
      </c>
      <c r="B13" s="19" t="str">
        <f>IF(OR(Questionario_ammodernamento!A25=TRUE,Questionario_ammodernamento!B25=TRUE,Questionario_ammodernamento!C25=TRUE),"Ja","Nein")</f>
        <v>Ja</v>
      </c>
      <c r="C13" s="21">
        <v>0.3</v>
      </c>
      <c r="D13" s="19">
        <f>IF(B13="Ja",C13,IF(B14="Ja",C14,C15))</f>
        <v>0.3</v>
      </c>
    </row>
    <row r="14" spans="1:7" x14ac:dyDescent="0.3">
      <c r="A14" s="17"/>
      <c r="B14" s="19" t="str">
        <f>IF(OR(Questionario_ammodernamento!A27=TRUE,Questionario_ammodernamento!B27=TRUE,Questionario_ammodernamento!C27=TRUE),"Ja","Nein")</f>
        <v>Nein</v>
      </c>
      <c r="C14" s="21">
        <v>0.4</v>
      </c>
      <c r="D14" s="21"/>
    </row>
    <row r="15" spans="1:7" x14ac:dyDescent="0.3">
      <c r="A15" s="17"/>
      <c r="B15" s="19" t="str">
        <f>IF(OR(Questionario_ammodernamento!A29=TRUE,Questionario_ammodernamento!B29=TRUE,Questionario_ammodernamento!C29=TRUE),"Ja","Nein")</f>
        <v>Nein</v>
      </c>
      <c r="C15" s="21">
        <v>0.5</v>
      </c>
      <c r="D15" s="21"/>
    </row>
    <row r="16" spans="1:7" x14ac:dyDescent="0.3">
      <c r="A16" s="17"/>
      <c r="D16" s="21"/>
    </row>
    <row r="17" spans="1:4" x14ac:dyDescent="0.3">
      <c r="A17" s="17"/>
      <c r="C17" s="263" t="s">
        <v>1090</v>
      </c>
      <c r="D17" s="21"/>
    </row>
    <row r="18" spans="1:4" x14ac:dyDescent="0.3">
      <c r="A18" s="260" t="s">
        <v>1033</v>
      </c>
      <c r="B18" s="261" t="str">
        <f>Texte!B223</f>
        <v>Nuova Costruzione</v>
      </c>
      <c r="C18" s="262">
        <v>0.2</v>
      </c>
    </row>
    <row r="19" spans="1:4" x14ac:dyDescent="0.3">
      <c r="A19" s="261"/>
      <c r="B19" s="261" t="str">
        <f>Texte!B224</f>
        <v>Ammodernamento</v>
      </c>
      <c r="C19" s="262">
        <v>0.35</v>
      </c>
    </row>
    <row r="21" spans="1:4" x14ac:dyDescent="0.3">
      <c r="C21" s="263" t="s">
        <v>1091</v>
      </c>
      <c r="D21" s="263" t="s">
        <v>1092</v>
      </c>
    </row>
    <row r="22" spans="1:4" x14ac:dyDescent="0.3">
      <c r="A22" s="260" t="s">
        <v>1037</v>
      </c>
      <c r="B22" s="261" t="str">
        <f>Texte!B226</f>
        <v>Abitazioni plurifamiliari</v>
      </c>
      <c r="C22" s="262">
        <v>0.5</v>
      </c>
      <c r="D22" s="262">
        <v>0.7</v>
      </c>
    </row>
    <row r="23" spans="1:4" x14ac:dyDescent="0.3">
      <c r="A23" s="261"/>
      <c r="B23" s="261" t="str">
        <f>Texte!B227</f>
        <v>Abitazioni monofamiliari</v>
      </c>
      <c r="C23" s="262">
        <v>0.5</v>
      </c>
      <c r="D23" s="262">
        <v>0.7</v>
      </c>
    </row>
    <row r="24" spans="1:4" x14ac:dyDescent="0.3">
      <c r="A24" s="261"/>
      <c r="B24" s="261" t="str">
        <f>Texte!B228</f>
        <v>Amministrazione</v>
      </c>
      <c r="C24" s="262">
        <v>0.5</v>
      </c>
      <c r="D24" s="262">
        <v>0.7</v>
      </c>
    </row>
    <row r="25" spans="1:4" x14ac:dyDescent="0.3">
      <c r="A25" s="261"/>
      <c r="B25" s="261" t="str">
        <f>Texte!B229</f>
        <v>Scuole</v>
      </c>
      <c r="C25" s="262">
        <v>0.5</v>
      </c>
      <c r="D25" s="262">
        <v>0.7</v>
      </c>
    </row>
    <row r="26" spans="1:4" x14ac:dyDescent="0.3">
      <c r="A26" s="261"/>
      <c r="B26" s="261" t="str">
        <f>Texte!B230</f>
        <v>Scuole (esenzione)</v>
      </c>
      <c r="C26" s="262">
        <v>0.4</v>
      </c>
      <c r="D26" s="262">
        <v>0.7</v>
      </c>
    </row>
    <row r="27" spans="1:4" x14ac:dyDescent="0.3">
      <c r="A27" s="261"/>
      <c r="B27" s="261" t="str">
        <f>Texte!B231</f>
        <v>Negozi</v>
      </c>
      <c r="C27" s="262">
        <v>0.5</v>
      </c>
      <c r="D27" s="262">
        <v>0.7</v>
      </c>
    </row>
    <row r="28" spans="1:4" x14ac:dyDescent="0.3">
      <c r="A28" s="261"/>
      <c r="B28" s="261" t="str">
        <f>Texte!B232</f>
        <v>Ristoranti</v>
      </c>
      <c r="C28" s="262">
        <v>0.5</v>
      </c>
      <c r="D28" s="262">
        <v>0.7</v>
      </c>
    </row>
    <row r="29" spans="1:4" x14ac:dyDescent="0.3">
      <c r="A29" s="261"/>
      <c r="B29" s="261" t="str">
        <f>Texte!B233</f>
        <v>Locali pubblici</v>
      </c>
      <c r="C29" s="262">
        <v>0.5</v>
      </c>
      <c r="D29" s="262">
        <v>0.7</v>
      </c>
    </row>
    <row r="30" spans="1:4" x14ac:dyDescent="0.3">
      <c r="A30" s="261"/>
      <c r="B30" s="261" t="str">
        <f>Texte!B234</f>
        <v>Ospedali</v>
      </c>
      <c r="C30" s="262">
        <v>0.5</v>
      </c>
      <c r="D30" s="262">
        <v>0.7</v>
      </c>
    </row>
    <row r="31" spans="1:4" x14ac:dyDescent="0.3">
      <c r="A31" s="261"/>
      <c r="B31" s="261" t="str">
        <f>Texte!B235</f>
        <v>Industrie</v>
      </c>
      <c r="C31" s="262">
        <v>0.5</v>
      </c>
      <c r="D31" s="262">
        <v>0.7</v>
      </c>
    </row>
    <row r="32" spans="1:4" x14ac:dyDescent="0.3">
      <c r="A32" s="261"/>
      <c r="B32" s="261" t="str">
        <f>Texte!B236</f>
        <v>Magazzini</v>
      </c>
      <c r="C32" s="262">
        <v>0.5</v>
      </c>
      <c r="D32" s="262">
        <v>0.7</v>
      </c>
    </row>
    <row r="33" spans="1:4" x14ac:dyDescent="0.3">
      <c r="A33" s="261"/>
      <c r="B33" s="261" t="str">
        <f>Texte!B237</f>
        <v>Impianti sportivi</v>
      </c>
      <c r="C33" s="262">
        <v>0.5</v>
      </c>
      <c r="D33" s="262">
        <v>0.7</v>
      </c>
    </row>
    <row r="34" spans="1:4" x14ac:dyDescent="0.3">
      <c r="A34" s="261"/>
      <c r="B34" s="261" t="str">
        <f>Texte!B238</f>
        <v>Piscine coperte</v>
      </c>
      <c r="C34" s="262">
        <v>0.5</v>
      </c>
      <c r="D34" s="262">
        <v>0.7</v>
      </c>
    </row>
    <row r="36" spans="1:4" x14ac:dyDescent="0.3">
      <c r="A36" s="17" t="s">
        <v>113</v>
      </c>
      <c r="B36" s="19" t="str">
        <f>Texte!B186</f>
        <v>chiaro</v>
      </c>
      <c r="C36" s="19">
        <v>1</v>
      </c>
    </row>
    <row r="37" spans="1:4" x14ac:dyDescent="0.3">
      <c r="A37" s="17"/>
      <c r="B37" s="19" t="str">
        <f>Texte!B187</f>
        <v>normale</v>
      </c>
      <c r="C37" s="19">
        <v>1.1000000000000001</v>
      </c>
    </row>
    <row r="38" spans="1:4" x14ac:dyDescent="0.3">
      <c r="A38" s="17"/>
      <c r="B38" s="19" t="str">
        <f>Texte!B188</f>
        <v>scuro</v>
      </c>
      <c r="C38" s="19">
        <v>1.5</v>
      </c>
    </row>
    <row r="39" spans="1:4" x14ac:dyDescent="0.3">
      <c r="A39" s="17"/>
    </row>
    <row r="40" spans="1:4" x14ac:dyDescent="0.3">
      <c r="A40" s="17" t="s">
        <v>70</v>
      </c>
      <c r="B40" s="19" t="str">
        <f>Texte!B195</f>
        <v>Nessuna protezione solare</v>
      </c>
      <c r="C40" s="19">
        <v>1</v>
      </c>
    </row>
    <row r="41" spans="1:4" x14ac:dyDescent="0.3">
      <c r="A41" s="17"/>
      <c r="B41" s="19" t="str">
        <f>Texte!B190</f>
        <v>Lamelle chiare con sistema di riflessione</v>
      </c>
      <c r="C41" s="19">
        <v>1</v>
      </c>
    </row>
    <row r="42" spans="1:4" x14ac:dyDescent="0.3">
      <c r="A42" s="17"/>
      <c r="B42" s="19" t="str">
        <f>Texte!B191</f>
        <v>Lamelle chiare senza sistema di riflessione</v>
      </c>
      <c r="C42" s="19">
        <v>1.1000000000000001</v>
      </c>
    </row>
    <row r="43" spans="1:4" x14ac:dyDescent="0.3">
      <c r="A43" s="17"/>
      <c r="B43" s="19" t="str">
        <f>Texte!B192</f>
        <v>Lamelle media chiare o tenda traslucida</v>
      </c>
      <c r="C43" s="19">
        <v>1.2</v>
      </c>
    </row>
    <row r="44" spans="1:4" x14ac:dyDescent="0.3">
      <c r="A44" s="17"/>
      <c r="B44" s="19" t="str">
        <f>Texte!B193</f>
        <v>Lamelle scure o tenda poco traslucida</v>
      </c>
      <c r="C44" s="19">
        <v>1.3</v>
      </c>
    </row>
    <row r="45" spans="1:4" x14ac:dyDescent="0.3">
      <c r="A45" s="17"/>
      <c r="B45" s="19" t="str">
        <f>Texte!B194</f>
        <v>tenda non traslucida</v>
      </c>
      <c r="C45" s="19">
        <v>1.4</v>
      </c>
    </row>
    <row r="46" spans="1:4" x14ac:dyDescent="0.3">
      <c r="A46" s="17"/>
    </row>
    <row r="47" spans="1:4" x14ac:dyDescent="0.3">
      <c r="A47" s="17" t="s">
        <v>104</v>
      </c>
      <c r="B47" s="19" t="str">
        <f>Texte!B201</f>
        <v>Nessuna protezione solare</v>
      </c>
      <c r="C47" s="19">
        <v>1</v>
      </c>
    </row>
    <row r="48" spans="1:4" x14ac:dyDescent="0.3">
      <c r="A48" s="17"/>
      <c r="B48" s="19" t="str">
        <f>Texte!B196</f>
        <v>Motorizzato, automatico con guida per le lamelle</v>
      </c>
      <c r="C48" s="19">
        <v>1</v>
      </c>
    </row>
    <row r="49" spans="1:3" x14ac:dyDescent="0.3">
      <c r="B49" s="19" t="str">
        <f>Texte!B197</f>
        <v>Motorizzato, automatico, tenendo conto degli ombrggiamenti</v>
      </c>
      <c r="C49" s="19">
        <v>1.1000000000000001</v>
      </c>
    </row>
    <row r="50" spans="1:3" x14ac:dyDescent="0.3">
      <c r="B50" s="19" t="str">
        <f>Texte!B198</f>
        <v>Motorizzato, automatico</v>
      </c>
      <c r="C50" s="19">
        <v>1.2</v>
      </c>
    </row>
    <row r="51" spans="1:3" x14ac:dyDescent="0.3">
      <c r="B51" s="19" t="str">
        <f>Texte!B199</f>
        <v>Motorizzato,  manuale</v>
      </c>
      <c r="C51" s="19">
        <v>1.3</v>
      </c>
    </row>
    <row r="52" spans="1:3" x14ac:dyDescent="0.3">
      <c r="B52" s="19" t="str">
        <f>Texte!B200</f>
        <v>Manuale</v>
      </c>
      <c r="C52" s="19">
        <v>1.4</v>
      </c>
    </row>
    <row r="54" spans="1:3" x14ac:dyDescent="0.3">
      <c r="A54" s="17" t="s">
        <v>80</v>
      </c>
      <c r="B54" s="19" t="str">
        <f>Texte!B202</f>
        <v>Terreno aperto, o poco ombraggiamento</v>
      </c>
      <c r="C54" s="19">
        <v>1</v>
      </c>
    </row>
    <row r="55" spans="1:3" x14ac:dyDescent="0.3">
      <c r="B55" s="19" t="str">
        <f>Texte!B203</f>
        <v>Ombraggiamento medio, angolo d'ombraggiamento tra i 15° e i 35°</v>
      </c>
      <c r="C55" s="19">
        <v>1.2</v>
      </c>
    </row>
    <row r="56" spans="1:3" x14ac:dyDescent="0.3">
      <c r="B56" s="19" t="str">
        <f>Texte!B204</f>
        <v>Situato in città, ombraggiamento importante</v>
      </c>
      <c r="C56" s="19">
        <v>1.4</v>
      </c>
    </row>
    <row r="58" spans="1:3" x14ac:dyDescent="0.3">
      <c r="A58" s="17" t="s">
        <v>792</v>
      </c>
      <c r="B58" s="19" t="str">
        <f>Texte!B206</f>
        <v>Solo paesaggio</v>
      </c>
      <c r="C58" s="19">
        <v>1</v>
      </c>
    </row>
    <row r="59" spans="1:3" x14ac:dyDescent="0.3">
      <c r="B59" s="19" t="str">
        <f>Texte!B207</f>
        <v>Paesaggio e terra</v>
      </c>
      <c r="C59" s="19">
        <v>2</v>
      </c>
    </row>
    <row r="60" spans="1:3" x14ac:dyDescent="0.3">
      <c r="B60" s="19" t="str">
        <f>Texte!B208</f>
        <v>Paesaggio e cielo</v>
      </c>
      <c r="C60" s="19">
        <v>2</v>
      </c>
    </row>
    <row r="61" spans="1:3" x14ac:dyDescent="0.3">
      <c r="B61" s="19" t="str">
        <f>Texte!B209</f>
        <v>Paesaggio, terra e cielo</v>
      </c>
      <c r="C61" s="19">
        <v>3</v>
      </c>
    </row>
    <row r="62" spans="1:3" x14ac:dyDescent="0.3">
      <c r="B62" s="19" t="str">
        <f>Texte!B210</f>
        <v>Solo terra</v>
      </c>
      <c r="C62" s="19">
        <v>0</v>
      </c>
    </row>
    <row r="63" spans="1:3" x14ac:dyDescent="0.3">
      <c r="B63" s="19" t="str">
        <f>Texte!B211</f>
        <v>Solo cielo</v>
      </c>
      <c r="C63" s="19">
        <v>0</v>
      </c>
    </row>
    <row r="64" spans="1:3" x14ac:dyDescent="0.3">
      <c r="B64" s="19" t="str">
        <f>Texte!B212</f>
        <v>terra e cielo</v>
      </c>
      <c r="C64" s="19">
        <v>0</v>
      </c>
    </row>
    <row r="66" spans="1:5" x14ac:dyDescent="0.3">
      <c r="A66" s="17" t="s">
        <v>857</v>
      </c>
      <c r="B66" s="19" t="str">
        <f>Texte!B214</f>
        <v>alto</v>
      </c>
    </row>
    <row r="67" spans="1:5" x14ac:dyDescent="0.3">
      <c r="B67" s="19" t="str">
        <f>Texte!B215</f>
        <v>media</v>
      </c>
    </row>
    <row r="68" spans="1:5" x14ac:dyDescent="0.3">
      <c r="B68" s="19" t="str">
        <f>Texte!B216</f>
        <v>minimo</v>
      </c>
    </row>
    <row r="69" spans="1:5" x14ac:dyDescent="0.3">
      <c r="B69" s="19" t="str">
        <f>Texte!B217</f>
        <v>insufficiente</v>
      </c>
    </row>
    <row r="71" spans="1:5" ht="13.3" x14ac:dyDescent="0.4">
      <c r="A71" s="17" t="s">
        <v>84</v>
      </c>
      <c r="B71" s="18" t="s">
        <v>85</v>
      </c>
      <c r="C71" s="18" t="s">
        <v>96</v>
      </c>
      <c r="D71" s="18" t="s">
        <v>97</v>
      </c>
      <c r="E71" s="18" t="s">
        <v>98</v>
      </c>
    </row>
    <row r="72" spans="1:5" ht="12.45" x14ac:dyDescent="0.3">
      <c r="B72" s="14" t="str">
        <f>Texte!B151</f>
        <v>Sala espositiva</v>
      </c>
      <c r="C72" s="19">
        <v>300</v>
      </c>
      <c r="D72" s="19">
        <v>2</v>
      </c>
      <c r="E72" s="19">
        <f t="shared" ref="E72:E105" si="0">ROUND(C72*D72,-1)</f>
        <v>600</v>
      </c>
    </row>
    <row r="73" spans="1:5" ht="12.45" x14ac:dyDescent="0.3">
      <c r="B73" s="14" t="str">
        <f>Texte!B152</f>
        <v>Locale medico</v>
      </c>
      <c r="C73" s="19">
        <v>500</v>
      </c>
      <c r="D73" s="19">
        <v>1.5</v>
      </c>
      <c r="E73" s="19">
        <f t="shared" si="0"/>
        <v>750</v>
      </c>
    </row>
    <row r="74" spans="1:5" ht="12.45" x14ac:dyDescent="0.3">
      <c r="B74" s="14" t="str">
        <f>Texte!B153</f>
        <v>Camere d'ospedale</v>
      </c>
      <c r="C74" s="19">
        <v>100</v>
      </c>
      <c r="D74" s="19">
        <v>3</v>
      </c>
      <c r="E74" s="19">
        <f t="shared" si="0"/>
        <v>300</v>
      </c>
    </row>
    <row r="75" spans="1:5" ht="12.45" x14ac:dyDescent="0.3">
      <c r="B75" s="14" t="str">
        <f>Texte!B154</f>
        <v>Biblioteca</v>
      </c>
      <c r="C75" s="19">
        <v>200</v>
      </c>
      <c r="D75" s="19">
        <v>1.5</v>
      </c>
      <c r="E75" s="19">
        <f t="shared" si="0"/>
        <v>300</v>
      </c>
    </row>
    <row r="76" spans="1:5" ht="12.45" x14ac:dyDescent="0.3">
      <c r="B76" s="14" t="str">
        <f>Texte!B155</f>
        <v>Singoli uffici  o uffici collettivi</v>
      </c>
      <c r="C76" s="19">
        <v>500</v>
      </c>
      <c r="D76" s="19">
        <v>1</v>
      </c>
      <c r="E76" s="19">
        <f t="shared" si="0"/>
        <v>500</v>
      </c>
    </row>
    <row r="77" spans="1:5" ht="12.45" x14ac:dyDescent="0.3">
      <c r="B77" s="14" t="str">
        <f>Texte!B156</f>
        <v>Commercio specializzato</v>
      </c>
      <c r="C77" s="19">
        <v>300</v>
      </c>
      <c r="D77" s="19">
        <v>2.5</v>
      </c>
      <c r="E77" s="19">
        <f t="shared" si="0"/>
        <v>750</v>
      </c>
    </row>
    <row r="78" spans="1:5" ht="12.45" x14ac:dyDescent="0.3">
      <c r="B78" s="14" t="str">
        <f>Texte!B157</f>
        <v>Sala Fitness</v>
      </c>
      <c r="C78" s="19">
        <v>300</v>
      </c>
      <c r="D78" s="19">
        <v>1</v>
      </c>
      <c r="E78" s="19">
        <f t="shared" si="0"/>
        <v>300</v>
      </c>
    </row>
    <row r="79" spans="1:5" ht="12.45" x14ac:dyDescent="0.3">
      <c r="B79" s="14" t="str">
        <f>Texte!B158</f>
        <v>Open space</v>
      </c>
      <c r="C79" s="19">
        <v>500</v>
      </c>
      <c r="D79" s="19">
        <v>1</v>
      </c>
      <c r="E79" s="19">
        <f t="shared" si="0"/>
        <v>500</v>
      </c>
    </row>
    <row r="80" spans="1:5" ht="12.45" x14ac:dyDescent="0.3">
      <c r="B80" s="14" t="str">
        <f>Texte!B159</f>
        <v>Auditorio</v>
      </c>
      <c r="C80" s="19">
        <v>500</v>
      </c>
      <c r="D80" s="19">
        <v>1</v>
      </c>
      <c r="E80" s="19">
        <f t="shared" si="0"/>
        <v>500</v>
      </c>
    </row>
    <row r="81" spans="2:5" ht="12.45" x14ac:dyDescent="0.3">
      <c r="B81" s="14" t="str">
        <f>Texte!B160</f>
        <v>Ricezione hotel/Lobby</v>
      </c>
      <c r="C81" s="19">
        <v>100</v>
      </c>
      <c r="D81" s="19">
        <v>3</v>
      </c>
      <c r="E81" s="19">
        <f t="shared" si="0"/>
        <v>300</v>
      </c>
    </row>
    <row r="82" spans="2:5" ht="12.45" x14ac:dyDescent="0.3">
      <c r="B82" s="14" t="str">
        <f>Texte!B161</f>
        <v>Camera d'hotel</v>
      </c>
      <c r="C82" s="19">
        <v>50</v>
      </c>
      <c r="D82" s="19">
        <v>6</v>
      </c>
      <c r="E82" s="19">
        <f t="shared" si="0"/>
        <v>300</v>
      </c>
    </row>
    <row r="83" spans="2:5" ht="12.45" x14ac:dyDescent="0.3">
      <c r="B83" s="14" t="str">
        <f>Texte!B162</f>
        <v>Cucina ristorante self-service</v>
      </c>
      <c r="C83" s="19">
        <v>500</v>
      </c>
      <c r="D83" s="19">
        <v>1</v>
      </c>
      <c r="E83" s="19">
        <f t="shared" si="0"/>
        <v>500</v>
      </c>
    </row>
    <row r="84" spans="2:5" ht="12.45" x14ac:dyDescent="0.3">
      <c r="B84" s="14" t="str">
        <f>Texte!B163</f>
        <v>Cucina ristorante</v>
      </c>
      <c r="C84" s="19">
        <v>500</v>
      </c>
      <c r="D84" s="19">
        <v>1</v>
      </c>
      <c r="E84" s="19">
        <f t="shared" si="0"/>
        <v>500</v>
      </c>
    </row>
    <row r="85" spans="2:5" ht="12.45" x14ac:dyDescent="0.3">
      <c r="B85" s="14" t="str">
        <f>Texte!B164</f>
        <v>Cucina</v>
      </c>
      <c r="C85" s="19">
        <v>200</v>
      </c>
      <c r="D85" s="19">
        <v>1</v>
      </c>
      <c r="E85" s="19">
        <f t="shared" si="0"/>
        <v>200</v>
      </c>
    </row>
    <row r="86" spans="2:5" ht="12.45" x14ac:dyDescent="0.3">
      <c r="B86" s="14" t="str">
        <f>Texte!B165</f>
        <v>Laboratorio</v>
      </c>
      <c r="C86" s="19">
        <v>500</v>
      </c>
      <c r="D86" s="19">
        <v>1</v>
      </c>
      <c r="E86" s="19">
        <f t="shared" si="0"/>
        <v>500</v>
      </c>
    </row>
    <row r="87" spans="2:5" ht="12.45" x14ac:dyDescent="0.3">
      <c r="B87" s="14" t="str">
        <f>Texte!B166</f>
        <v>Commercio alimentari</v>
      </c>
      <c r="C87" s="19">
        <v>300</v>
      </c>
      <c r="D87" s="19">
        <v>2.5</v>
      </c>
      <c r="E87" s="19">
        <f t="shared" si="0"/>
        <v>750</v>
      </c>
    </row>
    <row r="88" spans="2:5" ht="12.45" x14ac:dyDescent="0.3">
      <c r="B88" s="14" t="str">
        <f>Texte!B167</f>
        <v>Aula docenti</v>
      </c>
      <c r="C88" s="19">
        <v>300</v>
      </c>
      <c r="D88" s="19">
        <v>1</v>
      </c>
      <c r="E88" s="19">
        <f t="shared" si="0"/>
        <v>300</v>
      </c>
    </row>
    <row r="89" spans="2:5" ht="12.45" x14ac:dyDescent="0.3">
      <c r="B89" s="14" t="str">
        <f>Texte!B168</f>
        <v>Sala multiuso</v>
      </c>
      <c r="C89" s="19">
        <v>300</v>
      </c>
      <c r="D89" s="19">
        <v>1</v>
      </c>
      <c r="E89" s="19">
        <f t="shared" si="0"/>
        <v>300</v>
      </c>
    </row>
    <row r="90" spans="2:5" ht="12.45" x14ac:dyDescent="0.3">
      <c r="B90" s="14" t="str">
        <f>Texte!B169</f>
        <v>Produzione (di precisione)</v>
      </c>
      <c r="C90" s="19">
        <v>500</v>
      </c>
      <c r="D90" s="19">
        <v>1</v>
      </c>
      <c r="E90" s="19">
        <f t="shared" si="0"/>
        <v>500</v>
      </c>
    </row>
    <row r="91" spans="2:5" ht="12.45" x14ac:dyDescent="0.3">
      <c r="B91" s="14" t="str">
        <f>Texte!B170</f>
        <v>Produzione (lavori pesanti)</v>
      </c>
      <c r="C91" s="19">
        <v>300</v>
      </c>
      <c r="D91" s="19">
        <v>1</v>
      </c>
      <c r="E91" s="19">
        <f t="shared" si="0"/>
        <v>300</v>
      </c>
    </row>
    <row r="92" spans="2:5" ht="12.45" x14ac:dyDescent="0.3">
      <c r="B92" s="14" t="str">
        <f>Texte!B171</f>
        <v>Ristorante</v>
      </c>
      <c r="C92" s="19">
        <v>200</v>
      </c>
      <c r="D92" s="19">
        <v>1.5</v>
      </c>
      <c r="E92" s="19">
        <f t="shared" si="0"/>
        <v>300</v>
      </c>
    </row>
    <row r="93" spans="2:5" ht="12.45" x14ac:dyDescent="0.3">
      <c r="B93" s="14" t="str">
        <f>Texte!B172</f>
        <v>Sportello/Accettazione</v>
      </c>
      <c r="C93" s="19">
        <v>200</v>
      </c>
      <c r="D93" s="19">
        <v>1.5</v>
      </c>
      <c r="E93" s="19">
        <f t="shared" si="0"/>
        <v>300</v>
      </c>
    </row>
    <row r="94" spans="2:5" ht="12.45" x14ac:dyDescent="0.3">
      <c r="B94" s="14" t="str">
        <f>Texte!B173</f>
        <v>Aule speciali</v>
      </c>
      <c r="C94" s="19">
        <v>500</v>
      </c>
      <c r="D94" s="19">
        <v>1</v>
      </c>
      <c r="E94" s="19">
        <f t="shared" si="0"/>
        <v>500</v>
      </c>
    </row>
    <row r="95" spans="2:5" ht="12.45" x14ac:dyDescent="0.3">
      <c r="B95" s="14" t="str">
        <f>Texte!B174</f>
        <v>Aule</v>
      </c>
      <c r="C95" s="19">
        <v>500</v>
      </c>
      <c r="D95" s="19">
        <v>1</v>
      </c>
      <c r="E95" s="19">
        <f t="shared" si="0"/>
        <v>500</v>
      </c>
    </row>
    <row r="96" spans="2:5" ht="12.45" x14ac:dyDescent="0.3">
      <c r="B96" s="14" t="str">
        <f>Texte!B175</f>
        <v>Piscina (fuori terra)</v>
      </c>
      <c r="C96" s="19">
        <v>300</v>
      </c>
      <c r="D96" s="19">
        <v>1</v>
      </c>
      <c r="E96" s="19">
        <f t="shared" si="0"/>
        <v>300</v>
      </c>
    </row>
    <row r="97" spans="1:5" ht="12.45" x14ac:dyDescent="0.3">
      <c r="B97" s="14" t="str">
        <f>Texte!B176</f>
        <v>Piscina (sotto terreno)</v>
      </c>
      <c r="C97" s="19">
        <v>100</v>
      </c>
      <c r="D97" s="19">
        <v>1</v>
      </c>
      <c r="E97" s="19">
        <v>100</v>
      </c>
    </row>
    <row r="98" spans="1:5" ht="12.45" x14ac:dyDescent="0.3">
      <c r="B98" s="14" t="str">
        <f>Texte!B177</f>
        <v>Ristorante self-service</v>
      </c>
      <c r="C98" s="19">
        <v>200</v>
      </c>
      <c r="D98" s="19">
        <v>1.5</v>
      </c>
      <c r="E98" s="19">
        <f t="shared" si="0"/>
        <v>300</v>
      </c>
    </row>
    <row r="99" spans="1:5" ht="12.45" x14ac:dyDescent="0.3">
      <c r="B99" s="14" t="str">
        <f>Texte!B178</f>
        <v>Sala riunioni</v>
      </c>
      <c r="C99" s="19">
        <v>500</v>
      </c>
      <c r="D99" s="19">
        <v>1</v>
      </c>
      <c r="E99" s="19">
        <f t="shared" si="0"/>
        <v>500</v>
      </c>
    </row>
    <row r="100" spans="1:5" ht="12.45" x14ac:dyDescent="0.3">
      <c r="B100" s="14" t="str">
        <f>Texte!B179</f>
        <v>Sala infermieri</v>
      </c>
      <c r="C100" s="19">
        <v>300</v>
      </c>
      <c r="D100" s="19">
        <v>1.667</v>
      </c>
      <c r="E100" s="19">
        <f t="shared" si="0"/>
        <v>500</v>
      </c>
    </row>
    <row r="101" spans="1:5" ht="12.45" x14ac:dyDescent="0.3">
      <c r="B101" s="14" t="str">
        <f>Texte!B180</f>
        <v>Palestra (fuori terra)</v>
      </c>
      <c r="C101" s="19">
        <v>300</v>
      </c>
      <c r="D101" s="19">
        <v>1.667</v>
      </c>
      <c r="E101" s="19">
        <f t="shared" si="0"/>
        <v>500</v>
      </c>
    </row>
    <row r="102" spans="1:5" ht="12.45" x14ac:dyDescent="0.3">
      <c r="B102" s="14" t="str">
        <f>Texte!B181</f>
        <v>Palestra (sotto terreno)</v>
      </c>
      <c r="C102" s="19">
        <v>100</v>
      </c>
      <c r="D102" s="19">
        <v>1.667</v>
      </c>
      <c r="E102" s="19">
        <v>170</v>
      </c>
    </row>
    <row r="103" spans="1:5" ht="12.45" x14ac:dyDescent="0.3">
      <c r="B103" s="14" t="str">
        <f>Texte!B182</f>
        <v>Commercio mobili, fai da te e giardino</v>
      </c>
      <c r="C103" s="19">
        <v>300</v>
      </c>
      <c r="D103" s="19">
        <v>2</v>
      </c>
      <c r="E103" s="19">
        <f t="shared" si="0"/>
        <v>600</v>
      </c>
    </row>
    <row r="104" spans="1:5" ht="12.45" x14ac:dyDescent="0.3">
      <c r="B104" s="14" t="str">
        <f>Texte!B183</f>
        <v>Sala per spettacoli</v>
      </c>
      <c r="C104" s="19">
        <v>300</v>
      </c>
      <c r="D104" s="19">
        <v>1</v>
      </c>
      <c r="E104" s="19">
        <f t="shared" si="0"/>
        <v>300</v>
      </c>
    </row>
    <row r="105" spans="1:5" ht="12.45" x14ac:dyDescent="0.3">
      <c r="B105" s="14" t="str">
        <f>Texte!B184</f>
        <v>Soggiorno, camera</v>
      </c>
      <c r="C105" s="19">
        <v>50</v>
      </c>
      <c r="D105" s="19">
        <v>2</v>
      </c>
      <c r="E105" s="19">
        <f t="shared" si="0"/>
        <v>100</v>
      </c>
    </row>
    <row r="107" spans="1:5" x14ac:dyDescent="0.3">
      <c r="A107" s="265" t="s">
        <v>127</v>
      </c>
      <c r="B107" s="268" t="s">
        <v>128</v>
      </c>
      <c r="C107" s="268">
        <v>0.7</v>
      </c>
      <c r="D107" s="268">
        <v>100</v>
      </c>
      <c r="E107" s="268" t="str">
        <f>Texte!$B$219</f>
        <v>sono ampiamente soddisfatte</v>
      </c>
    </row>
    <row r="108" spans="1:5" x14ac:dyDescent="0.3">
      <c r="A108" s="265"/>
      <c r="B108" s="268" t="s">
        <v>129</v>
      </c>
      <c r="C108" s="268">
        <v>0.5</v>
      </c>
      <c r="D108" s="268">
        <f>Gut</f>
        <v>0.7</v>
      </c>
      <c r="E108" s="268" t="str">
        <f>Texte!$B$220</f>
        <v>sono soddisfatte</v>
      </c>
    </row>
    <row r="109" spans="1:5" x14ac:dyDescent="0.3">
      <c r="A109" s="265"/>
      <c r="B109" s="268" t="s">
        <v>130</v>
      </c>
      <c r="C109" s="268">
        <v>0</v>
      </c>
      <c r="D109" s="268">
        <f>Befriedigend</f>
        <v>0.5</v>
      </c>
      <c r="E109" s="268" t="str">
        <f>Texte!$B$221</f>
        <v>non sono soddisfatte</v>
      </c>
    </row>
    <row r="110" spans="1:5" x14ac:dyDescent="0.3">
      <c r="A110" s="17"/>
    </row>
    <row r="111" spans="1:5" x14ac:dyDescent="0.3">
      <c r="A111" s="265" t="s">
        <v>132</v>
      </c>
      <c r="B111" s="266">
        <f>IF(OR(Nutzung="Schulen (Ausnahmeregelung)",Nutzung="Écoles (dérogation)",Nutzung="Scuole (esenzione)",Nutzung="Schools (exemption)"),0.4,0.5)</f>
        <v>0.5</v>
      </c>
    </row>
    <row r="112" spans="1:5" x14ac:dyDescent="0.3">
      <c r="A112" s="17"/>
    </row>
    <row r="113" spans="1:2" x14ac:dyDescent="0.3">
      <c r="A113" s="265" t="s">
        <v>133</v>
      </c>
      <c r="B113" s="267">
        <f>IF(OR(Bauvorhaben="Erneuerung",Bauvorhaben="Rénovation",Bauvorhaben="Ammodernamento",Bauvorhaben="Renovation"),0.35,0.2)</f>
        <v>0.2</v>
      </c>
    </row>
    <row r="114" spans="1:2" x14ac:dyDescent="0.3">
      <c r="A114" s="17"/>
    </row>
    <row r="115" spans="1:2" x14ac:dyDescent="0.3">
      <c r="A115" s="17" t="s">
        <v>134</v>
      </c>
      <c r="B115" s="228" t="str">
        <f>"V"&amp;VersionNr</f>
        <v>V2023.2</v>
      </c>
    </row>
  </sheetData>
  <sheetProtection algorithmName="SHA-512" hashValue="qMKfSXfxHkZE/AQOpQWQ5TlDA3e1oh/lK8MbASaTXJlSdGRsUiwYUy9vtgP7wZJXaY5mtgy3YiEcs4Bdq2EYvQ==" saltValue="iC2Y6la8bqXkm1vvmPM71A==" spinCount="100000" sheet="1" objects="1" scenarios="1"/>
  <phoneticPr fontId="15" type="noConversion"/>
  <dataValidations count="1">
    <dataValidation type="list" allowBlank="1" showInputMessage="1" showErrorMessage="1" sqref="B5" xr:uid="{00000000-0002-0000-0500-000000000000}">
      <formula1>ListSprache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cellWatches>
    <cellWatch r="B13"/>
  </cellWatche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8" r:id="rId4" name="Button 18">
              <controlPr defaultSize="0" print="0" autoFill="0" autoPict="0" macro="[0]!LangChange_sheets_validation" altText="Tabellen umbenennen">
                <anchor moveWithCells="1" sizeWithCells="1">
                  <from>
                    <xdr:col>3</xdr:col>
                    <xdr:colOff>0</xdr:colOff>
                    <xdr:row>3</xdr:row>
                    <xdr:rowOff>136071</xdr:rowOff>
                  </from>
                  <to>
                    <xdr:col>5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4"/>
  <dimension ref="A1:G378"/>
  <sheetViews>
    <sheetView zoomScaleNormal="100" workbookViewId="0"/>
  </sheetViews>
  <sheetFormatPr baseColWidth="10" defaultColWidth="11.5625" defaultRowHeight="12.45" x14ac:dyDescent="0.3"/>
  <cols>
    <col min="1" max="1" width="11.4375" style="26" customWidth="1"/>
    <col min="2" max="6" width="21.75" style="26" customWidth="1"/>
    <col min="7" max="16384" width="11.5625" style="26"/>
  </cols>
  <sheetData>
    <row r="1" spans="1:6" ht="22.3" x14ac:dyDescent="0.5">
      <c r="A1" s="63" t="s">
        <v>161</v>
      </c>
    </row>
    <row r="2" spans="1:6" ht="9" customHeight="1" x14ac:dyDescent="0.3"/>
    <row r="3" spans="1:6" x14ac:dyDescent="0.3">
      <c r="A3" s="37" t="s">
        <v>173</v>
      </c>
      <c r="B3" s="37"/>
      <c r="C3" s="37"/>
      <c r="D3" s="37"/>
      <c r="E3" s="37"/>
      <c r="F3" s="37"/>
    </row>
    <row r="4" spans="1:6" x14ac:dyDescent="0.3">
      <c r="A4" s="37" t="s">
        <v>162</v>
      </c>
      <c r="B4" s="37" t="s">
        <v>163</v>
      </c>
      <c r="C4" s="37" t="s">
        <v>44</v>
      </c>
      <c r="D4" s="37" t="s">
        <v>172</v>
      </c>
      <c r="E4" s="37" t="s">
        <v>45</v>
      </c>
      <c r="F4" s="37" t="s">
        <v>46</v>
      </c>
    </row>
    <row r="5" spans="1:6" x14ac:dyDescent="0.3">
      <c r="A5" s="26" t="s">
        <v>165</v>
      </c>
      <c r="B5" s="26" t="str">
        <f t="shared" ref="B5:B39" si="0">INDEX($C5:$F5,1,MATCH(Sprachwahl,ListSprache,0))</f>
        <v>Strumento per l'illuminazione naturale ECO</v>
      </c>
      <c r="C5" s="26" t="s">
        <v>932</v>
      </c>
      <c r="D5" s="26" t="s">
        <v>933</v>
      </c>
      <c r="E5" s="26" t="s">
        <v>934</v>
      </c>
      <c r="F5" s="26" t="s">
        <v>935</v>
      </c>
    </row>
    <row r="6" spans="1:6" x14ac:dyDescent="0.3">
      <c r="A6" s="26" t="s">
        <v>900</v>
      </c>
      <c r="B6" s="26" t="str">
        <f t="shared" si="0"/>
        <v>Da utilizzare fino al 31.12.2026</v>
      </c>
      <c r="C6" s="26" t="s">
        <v>999</v>
      </c>
      <c r="D6" s="26" t="s">
        <v>1000</v>
      </c>
      <c r="E6" s="217" t="s">
        <v>1032</v>
      </c>
      <c r="F6" s="26" t="s">
        <v>1001</v>
      </c>
    </row>
    <row r="7" spans="1:6" x14ac:dyDescent="0.3">
      <c r="A7" s="26" t="s">
        <v>164</v>
      </c>
      <c r="B7" s="26" t="str">
        <f t="shared" si="0"/>
        <v>Dati Ogetto</v>
      </c>
      <c r="C7" s="26" t="s">
        <v>39</v>
      </c>
      <c r="D7" s="26" t="s">
        <v>213</v>
      </c>
      <c r="E7" s="26" t="s">
        <v>299</v>
      </c>
      <c r="F7" s="26" t="s">
        <v>319</v>
      </c>
    </row>
    <row r="8" spans="1:6" x14ac:dyDescent="0.3">
      <c r="A8" s="26" t="s">
        <v>166</v>
      </c>
      <c r="B8" s="26" t="str">
        <f t="shared" si="0"/>
        <v>Progetto</v>
      </c>
      <c r="C8" s="26" t="s">
        <v>47</v>
      </c>
      <c r="D8" s="26" t="s">
        <v>214</v>
      </c>
      <c r="E8" s="26" t="s">
        <v>300</v>
      </c>
      <c r="F8" s="26" t="s">
        <v>320</v>
      </c>
    </row>
    <row r="9" spans="1:6" x14ac:dyDescent="0.3">
      <c r="A9" s="26" t="s">
        <v>167</v>
      </c>
      <c r="B9" s="26" t="str">
        <f t="shared" si="0"/>
        <v>Progetto edilizio</v>
      </c>
      <c r="C9" s="259" t="s">
        <v>1033</v>
      </c>
      <c r="D9" s="259" t="s">
        <v>1035</v>
      </c>
      <c r="E9" s="259" t="s">
        <v>1034</v>
      </c>
      <c r="F9" s="259" t="s">
        <v>1036</v>
      </c>
    </row>
    <row r="10" spans="1:6" x14ac:dyDescent="0.3">
      <c r="A10" s="26" t="s">
        <v>168</v>
      </c>
      <c r="B10" s="26" t="str">
        <f t="shared" si="0"/>
        <v>Utilizzazione</v>
      </c>
      <c r="C10" s="259" t="s">
        <v>1037</v>
      </c>
      <c r="D10" s="259" t="s">
        <v>1038</v>
      </c>
      <c r="E10" s="259" t="s">
        <v>1039</v>
      </c>
      <c r="F10" s="259" t="s">
        <v>1040</v>
      </c>
    </row>
    <row r="11" spans="1:6" x14ac:dyDescent="0.3">
      <c r="A11" s="26" t="s">
        <v>1130</v>
      </c>
      <c r="B11" s="26" t="str">
        <f t="shared" si="0"/>
        <v>Selezionare l'utilizzazione con la quota di superficie maggiore.</v>
      </c>
      <c r="C11" s="259" t="s">
        <v>1131</v>
      </c>
      <c r="D11" s="259" t="s">
        <v>1133</v>
      </c>
      <c r="E11" s="259" t="s">
        <v>1134</v>
      </c>
      <c r="F11" s="259" t="s">
        <v>1132</v>
      </c>
    </row>
    <row r="12" spans="1:6" x14ac:dyDescent="0.3">
      <c r="A12" s="26" t="s">
        <v>1116</v>
      </c>
      <c r="B12" s="26" t="str">
        <f t="shared" si="0"/>
        <v>Costruttore</v>
      </c>
      <c r="C12" s="26" t="s">
        <v>23</v>
      </c>
      <c r="D12" s="26" t="s">
        <v>215</v>
      </c>
      <c r="E12" s="26" t="s">
        <v>321</v>
      </c>
      <c r="F12" s="217" t="s">
        <v>1007</v>
      </c>
    </row>
    <row r="13" spans="1:6" x14ac:dyDescent="0.3">
      <c r="A13" s="26" t="s">
        <v>169</v>
      </c>
      <c r="B13" s="26" t="str">
        <f t="shared" si="0"/>
        <v>Architetto</v>
      </c>
      <c r="C13" s="26" t="s">
        <v>3</v>
      </c>
      <c r="D13" s="26" t="s">
        <v>216</v>
      </c>
      <c r="E13" s="26" t="s">
        <v>301</v>
      </c>
      <c r="F13" s="26" t="s">
        <v>322</v>
      </c>
    </row>
    <row r="14" spans="1:6" x14ac:dyDescent="0.3">
      <c r="A14" s="26" t="s">
        <v>1119</v>
      </c>
      <c r="B14" s="26" t="str">
        <f t="shared" si="0"/>
        <v>Prog. Imp. elettrico</v>
      </c>
      <c r="C14" s="26" t="s">
        <v>4</v>
      </c>
      <c r="D14" s="26" t="s">
        <v>217</v>
      </c>
      <c r="E14" s="26" t="s">
        <v>302</v>
      </c>
      <c r="F14" s="26" t="s">
        <v>323</v>
      </c>
    </row>
    <row r="15" spans="1:6" x14ac:dyDescent="0.3">
      <c r="A15" s="26" t="s">
        <v>170</v>
      </c>
      <c r="B15" s="26" t="str">
        <f t="shared" si="0"/>
        <v>Prog. illuminotecnica</v>
      </c>
      <c r="C15" s="26" t="s">
        <v>6</v>
      </c>
      <c r="D15" s="26" t="s">
        <v>218</v>
      </c>
      <c r="E15" s="26" t="s">
        <v>303</v>
      </c>
      <c r="F15" s="26" t="s">
        <v>324</v>
      </c>
    </row>
    <row r="16" spans="1:6" x14ac:dyDescent="0.3">
      <c r="A16" s="26" t="s">
        <v>1117</v>
      </c>
      <c r="B16" s="26" t="str">
        <f t="shared" si="0"/>
        <v>Autore verifica</v>
      </c>
      <c r="C16" s="26" t="s">
        <v>5</v>
      </c>
      <c r="D16" s="217" t="s">
        <v>936</v>
      </c>
      <c r="E16" s="26" t="s">
        <v>304</v>
      </c>
      <c r="F16" s="26" t="s">
        <v>470</v>
      </c>
    </row>
    <row r="17" spans="1:6" x14ac:dyDescent="0.3">
      <c r="A17" s="26" t="s">
        <v>1118</v>
      </c>
      <c r="B17" s="26" t="str">
        <f t="shared" si="0"/>
        <v>Data</v>
      </c>
      <c r="C17" s="26" t="s">
        <v>2</v>
      </c>
      <c r="D17" s="26" t="s">
        <v>219</v>
      </c>
      <c r="E17" s="26" t="s">
        <v>305</v>
      </c>
      <c r="F17" s="26" t="s">
        <v>219</v>
      </c>
    </row>
    <row r="18" spans="1:6" x14ac:dyDescent="0.3">
      <c r="A18" s="26" t="s">
        <v>1120</v>
      </c>
      <c r="B18" s="26" t="str">
        <f t="shared" si="0"/>
        <v>Riassunto illuminazione naturale</v>
      </c>
      <c r="C18" s="26" t="s">
        <v>880</v>
      </c>
      <c r="D18" s="217" t="s">
        <v>937</v>
      </c>
      <c r="E18" s="26" t="s">
        <v>881</v>
      </c>
      <c r="F18" s="26" t="s">
        <v>882</v>
      </c>
    </row>
    <row r="19" spans="1:6" x14ac:dyDescent="0.3">
      <c r="A19" s="26" t="s">
        <v>1041</v>
      </c>
      <c r="B19" s="26" t="str">
        <f t="shared" si="0"/>
        <v>Superficie netta totale</v>
      </c>
      <c r="C19" s="26" t="s">
        <v>135</v>
      </c>
      <c r="D19" s="217" t="s">
        <v>938</v>
      </c>
      <c r="E19" s="26" t="s">
        <v>307</v>
      </c>
      <c r="F19" s="26" t="s">
        <v>326</v>
      </c>
    </row>
    <row r="20" spans="1:6" x14ac:dyDescent="0.3">
      <c r="A20" s="26" t="s">
        <v>1121</v>
      </c>
      <c r="B20" s="26" t="str">
        <f t="shared" si="0"/>
        <v>Superficie principale con valutazione insufficiente</v>
      </c>
      <c r="C20" s="26" t="s">
        <v>137</v>
      </c>
      <c r="D20" s="26" t="s">
        <v>220</v>
      </c>
      <c r="E20" s="26" t="s">
        <v>308</v>
      </c>
      <c r="F20" s="26" t="s">
        <v>327</v>
      </c>
    </row>
    <row r="21" spans="1:6" x14ac:dyDescent="0.3">
      <c r="A21" s="26" t="s">
        <v>1122</v>
      </c>
      <c r="B21" s="26" t="str">
        <f t="shared" si="0"/>
        <v>Le esigenze del complemento ECO</v>
      </c>
      <c r="C21" s="217" t="s">
        <v>1003</v>
      </c>
      <c r="D21" s="217" t="s">
        <v>1004</v>
      </c>
      <c r="E21" s="217" t="s">
        <v>1005</v>
      </c>
      <c r="F21" s="217" t="s">
        <v>1006</v>
      </c>
    </row>
    <row r="22" spans="1:6" x14ac:dyDescent="0.3">
      <c r="A22" s="26" t="s">
        <v>1123</v>
      </c>
      <c r="B22" s="26" t="str">
        <f t="shared" si="0"/>
        <v>Piattaforma dei label: se sodisfatto min. 50% trasferito.</v>
      </c>
      <c r="C22" s="217" t="s">
        <v>1085</v>
      </c>
      <c r="D22" s="217" t="s">
        <v>1087</v>
      </c>
      <c r="E22" s="217" t="s">
        <v>1086</v>
      </c>
      <c r="F22" s="217" t="s">
        <v>1088</v>
      </c>
    </row>
    <row r="23" spans="1:6" x14ac:dyDescent="0.3">
      <c r="A23" s="26" t="s">
        <v>1127</v>
      </c>
      <c r="B23" s="26" t="str">
        <f>INDEX($C23:$F23,1,MATCH(Sprachwahl,ListSprache,0))</f>
        <v>Riassunto prospettive</v>
      </c>
      <c r="C23" s="26" t="s">
        <v>892</v>
      </c>
      <c r="D23" s="217" t="s">
        <v>939</v>
      </c>
      <c r="E23" s="26" t="s">
        <v>902</v>
      </c>
      <c r="F23" s="26" t="s">
        <v>903</v>
      </c>
    </row>
    <row r="24" spans="1:6" x14ac:dyDescent="0.3">
      <c r="A24" s="26" t="s">
        <v>1010</v>
      </c>
      <c r="B24" s="26" t="str">
        <f t="shared" si="0"/>
        <v>Superficie netta totale</v>
      </c>
      <c r="C24" s="26" t="s">
        <v>135</v>
      </c>
      <c r="D24" s="217" t="s">
        <v>938</v>
      </c>
      <c r="E24" s="26" t="s">
        <v>307</v>
      </c>
      <c r="F24" s="26" t="s">
        <v>326</v>
      </c>
    </row>
    <row r="25" spans="1:6" x14ac:dyDescent="0.3">
      <c r="A25" s="26" t="s">
        <v>1128</v>
      </c>
      <c r="B25" s="26" t="str">
        <f t="shared" si="0"/>
        <v>Superficie principale con valutazione insufficiente</v>
      </c>
      <c r="C25" s="26" t="s">
        <v>137</v>
      </c>
      <c r="D25" s="26" t="s">
        <v>220</v>
      </c>
      <c r="E25" s="26" t="s">
        <v>308</v>
      </c>
      <c r="F25" s="26" t="s">
        <v>327</v>
      </c>
    </row>
    <row r="26" spans="1:6" x14ac:dyDescent="0.3">
      <c r="A26" s="26" t="s">
        <v>1129</v>
      </c>
      <c r="B26" s="26" t="str">
        <f t="shared" si="0"/>
        <v>Le esigenze del complemento ECO</v>
      </c>
      <c r="C26" s="217" t="s">
        <v>1003</v>
      </c>
      <c r="D26" s="217" t="s">
        <v>1004</v>
      </c>
      <c r="E26" s="217" t="s">
        <v>1005</v>
      </c>
      <c r="F26" s="217" t="s">
        <v>1006</v>
      </c>
    </row>
    <row r="27" spans="1:6" x14ac:dyDescent="0.3">
      <c r="A27" s="26" t="s">
        <v>1125</v>
      </c>
      <c r="B27" s="26" t="str">
        <f t="shared" si="0"/>
        <v>Procedimento</v>
      </c>
      <c r="C27" s="26" t="s">
        <v>139</v>
      </c>
      <c r="D27" s="26" t="s">
        <v>221</v>
      </c>
      <c r="E27" s="26" t="s">
        <v>309</v>
      </c>
      <c r="F27" s="26" t="s">
        <v>328</v>
      </c>
    </row>
    <row r="28" spans="1:6" x14ac:dyDescent="0.3">
      <c r="A28" s="26" t="s">
        <v>1126</v>
      </c>
      <c r="B28" s="26" t="str">
        <f t="shared" si="0"/>
        <v xml:space="preserve">Istruzioni dettagliate possono essere trovate sul sito web Minergie.  </v>
      </c>
      <c r="C28" s="26" t="s">
        <v>249</v>
      </c>
      <c r="D28" s="217" t="s">
        <v>940</v>
      </c>
      <c r="E28" s="26" t="s">
        <v>941</v>
      </c>
      <c r="F28" s="26" t="s">
        <v>942</v>
      </c>
    </row>
    <row r="29" spans="1:6" x14ac:dyDescent="0.3">
      <c r="A29" s="26" t="s">
        <v>887</v>
      </c>
      <c r="B29" s="26" t="str">
        <f t="shared" si="0"/>
        <v>Immettere prima i dati dell’oggetto nella scheda 'Riassunto'.</v>
      </c>
      <c r="C29" s="26" t="s">
        <v>1135</v>
      </c>
      <c r="D29" s="217" t="s">
        <v>1136</v>
      </c>
      <c r="E29" s="26" t="s">
        <v>1137</v>
      </c>
      <c r="F29" s="26" t="s">
        <v>1138</v>
      </c>
    </row>
    <row r="30" spans="1:6" x14ac:dyDescent="0.3">
      <c r="A30" s="26" t="s">
        <v>1043</v>
      </c>
      <c r="B30" s="26" t="str">
        <f t="shared" si="0"/>
        <v>Se il progetto è un rinnovo, compilare il foglio 'Questionario_ammodernamento' .</v>
      </c>
      <c r="C30" s="217" t="str">
        <f>"Falls es sich beim Projekt um eine Erneuerung handelt, füllen Sie das Blatt '"&amp;SheetQuestionaire&amp;"' aus."</f>
        <v>Falls es sich beim Projekt um eine Erneuerung handelt, füllen Sie das Blatt 'Questionario_ammodernamento' aus.</v>
      </c>
      <c r="D30" s="217" t="str">
        <f>"Si le projet est une rénovation veuillez remplir l'onglet '"&amp;SheetQuestionaire&amp;"'."</f>
        <v>Si le projet est une rénovation veuillez remplir l'onglet 'Questionario_ammodernamento'.</v>
      </c>
      <c r="E30" s="217" t="str">
        <f>"Se il progetto è un rinnovo, compilare il foglio '"&amp;SheetQuestionaire&amp;"' ."</f>
        <v>Se il progetto è un rinnovo, compilare il foglio 'Questionario_ammodernamento' .</v>
      </c>
      <c r="F30" s="217" t="str">
        <f>"If the project is a renovation, complete the sheet '"&amp;SheetQuestionaire&amp;"'."</f>
        <v>If the project is a renovation, complete the sheet 'Questionario_ammodernamento'.</v>
      </c>
    </row>
    <row r="31" spans="1:6" x14ac:dyDescent="0.3">
      <c r="A31" s="26" t="s">
        <v>888</v>
      </c>
      <c r="B31" s="26" t="str">
        <f t="shared" si="0"/>
        <v>Se il progetto è un nuovo edificio, andare al foglio 'Finestre'.</v>
      </c>
      <c r="C31" s="217" t="str">
        <f>"Falls es sich beim Projekt um einen Neubau handelt, gehen Sie zum Blatt '"&amp;SheetWindow&amp;"'."</f>
        <v>Falls es sich beim Projekt um einen Neubau handelt, gehen Sie zum Blatt 'Finestre'.</v>
      </c>
      <c r="D31" s="217" t="str">
        <f>"Si le projet est une nouvelle contruction, veuillez ouvrir l'onglet '"&amp;SheetWindow&amp;"'."</f>
        <v>Si le projet est une nouvelle contruction, veuillez ouvrir l'onglet 'Finestre'.</v>
      </c>
      <c r="E31" s="217" t="str">
        <f>"Se il progetto è un nuovo edificio, andare al foglio '"&amp;SheetWindow&amp;"'."</f>
        <v>Se il progetto è un nuovo edificio, andare al foglio 'Finestre'.</v>
      </c>
      <c r="F31" s="26" t="str">
        <f>"If the project is a new building, select the sheet '"&amp;SheetWindow&amp;"'."</f>
        <v>If the project is a new building, select the sheet 'Finestre'.</v>
      </c>
    </row>
    <row r="32" spans="1:6" x14ac:dyDescent="0.3">
      <c r="A32" s="26" t="s">
        <v>889</v>
      </c>
      <c r="B32" s="26" t="str">
        <f t="shared" si="0"/>
        <v>Immettere quindi i dati delle finestre dell' edificio nella tabella 'Finestre'.</v>
      </c>
      <c r="C32" s="26" t="str">
        <f>"Anschliessend geben Sie die Fensterdaten des Gebäudes in der Tabelle '"&amp;SheetWindow&amp;"' ein."</f>
        <v>Anschliessend geben Sie die Fensterdaten des Gebäudes in der Tabelle 'Finestre' ein.</v>
      </c>
      <c r="D32" s="217" t="str">
        <f>"Saisissez ensuite les données des fenêtres du bâtiment dans le tableau '"&amp;SheetWindow&amp;"'."</f>
        <v>Saisissez ensuite les données des fenêtres du bâtiment dans le tableau 'Finestre'.</v>
      </c>
      <c r="E32" s="26" t="str">
        <f>"Immettere quindi i dati delle finestre dell' edificio nella tabella '"&amp;SheetWindow&amp;"'."</f>
        <v>Immettere quindi i dati delle finestre dell' edificio nella tabella 'Finestre'.</v>
      </c>
      <c r="F32" s="26" t="str">
        <f>"Now, enter the windows data in the sheet '"&amp;SheetWindow&amp;"'."</f>
        <v>Now, enter the windows data in the sheet 'Finestre'.</v>
      </c>
    </row>
    <row r="33" spans="1:6" x14ac:dyDescent="0.3">
      <c r="A33" s="26" t="s">
        <v>890</v>
      </c>
      <c r="B33" s="26" t="str">
        <f t="shared" si="0"/>
        <v>Come passo successivo, nella scheda 'Illuminazione_naturale', inserire i dati del locale e delle finestre di pertinenza.</v>
      </c>
      <c r="C33" s="26" t="str">
        <f>"Als nächsten Schritt erfassen Sie die Raumdaten und die im Raum verwendeten Fenster im Blatt '"&amp;SheetDaylight&amp;"'."</f>
        <v>Als nächsten Schritt erfassen Sie die Raumdaten und die im Raum verwendeten Fenster im Blatt 'Illuminazione_naturale'.</v>
      </c>
      <c r="D33" s="217" t="str">
        <f>"Comme prochaine étape, ouvrez l'onglet '"&amp;SheetDaylight&amp;"', saisissez les données des locaux et selectionnez les fenêtres utilisées."</f>
        <v>Comme prochaine étape, ouvrez l'onglet 'Illuminazione_naturale', saisissez les données des locaux et selectionnez les fenêtres utilisées.</v>
      </c>
      <c r="E33" s="26" t="str">
        <f>"Come passo successivo, nella scheda '"&amp;SheetDaylight&amp;"', inserire i dati del locale e delle finestre di pertinenza."</f>
        <v>Come passo successivo, nella scheda 'Illuminazione_naturale', inserire i dati del locale e delle finestre di pertinenza.</v>
      </c>
      <c r="F33" s="26" t="str">
        <f>"As next step, select the sheet '"&amp;SheetDaylight&amp;"' and enter the room data."</f>
        <v>As next step, select the sheet 'Illuminazione_naturale' and enter the room data.</v>
      </c>
    </row>
    <row r="34" spans="1:6" x14ac:dyDescent="0.3">
      <c r="A34" s="26" t="s">
        <v>891</v>
      </c>
      <c r="B34" s="26" t="str">
        <f t="shared" si="0"/>
        <v>Infine, si inseriscono le viste per locale nel foglio 'Prospettive'.</v>
      </c>
      <c r="C34" s="26" t="str">
        <f>"Zuletzt erfassen Sie den Ausblick pro Raum im Blatt '"&amp;SheetViews&amp;"'."</f>
        <v>Zuletzt erfassen Sie den Ausblick pro Raum im Blatt 'Prospettive'.</v>
      </c>
      <c r="D34" s="217" t="str">
        <f>"Enfin, ouvrez l'onglet '"&amp;SheetViews&amp;"' entrez par local les élments de vue visibles."</f>
        <v>Enfin, ouvrez l'onglet 'Prospettive' entrez par local les élments de vue visibles.</v>
      </c>
      <c r="E34" s="26" t="str">
        <f>"Infine, si inseriscono le viste per locale nel foglio '"&amp;SheetViews&amp;"'."</f>
        <v>Infine, si inseriscono le viste per locale nel foglio 'Prospettive'.</v>
      </c>
      <c r="F34" s="26" t="str">
        <f>"Finally, enter the views per room in the sheet '"&amp;SheetViews&amp;"'."</f>
        <v>Finally, enter the views per room in the sheet 'Prospettive'.</v>
      </c>
    </row>
    <row r="35" spans="1:6" x14ac:dyDescent="0.3">
      <c r="A35" s="26" t="s">
        <v>901</v>
      </c>
      <c r="B35" s="26" t="str">
        <f t="shared" si="0"/>
        <v>Si prega di leggere gli aiuti che appaiono quando si clicca su un camp di immissione.</v>
      </c>
      <c r="C35" s="26" t="s">
        <v>580</v>
      </c>
      <c r="D35" s="217" t="s">
        <v>690</v>
      </c>
      <c r="E35" s="26" t="s">
        <v>654</v>
      </c>
      <c r="F35" s="26" t="s">
        <v>656</v>
      </c>
    </row>
    <row r="36" spans="1:6" x14ac:dyDescent="0.3">
      <c r="A36" s="26" t="s">
        <v>1009</v>
      </c>
      <c r="B36" s="26" t="str">
        <f t="shared" si="0"/>
        <v>I risultati vengono visualizzati in fondo alla pagina nei fogli 'Riassunto' e 'Illuminazione_naturale'.</v>
      </c>
      <c r="C36" s="26" t="str">
        <f>"Die Ergebnisse werden unten auf der Seite im Blatt '"&amp;SheetDaylight&amp;"' und im Blatt '"&amp;SheetOverview&amp;"' ausgegeben."</f>
        <v>Die Ergebnisse werden unten auf der Seite im Blatt 'Illuminazione_naturale' und im Blatt 'Riassunto' ausgegeben.</v>
      </c>
      <c r="D36" s="217" t="str">
        <f>"Les résultats seront affichés au bas de la page '"&amp;SheetDaylight&amp;"' et '"&amp;SheetOverview&amp;"'."</f>
        <v>Les résultats seront affichés au bas de la page 'Illuminazione_naturale' et 'Riassunto'.</v>
      </c>
      <c r="E36" s="26" t="str">
        <f>"I risultati vengono visualizzati in fondo alla pagina nei fogli '"&amp;SheetOverview&amp;"' e '"&amp;SheetDaylight&amp;"'."</f>
        <v>I risultati vengono visualizzati in fondo alla pagina nei fogli 'Riassunto' e 'Illuminazione_naturale'.</v>
      </c>
      <c r="F36" s="26" t="str">
        <f>"The results are displayed on the bottom of the sheet '"&amp;SheetDaylight&amp;"' and on the sheet '"&amp;SheetOverview&amp;"'."</f>
        <v>The results are displayed on the bottom of the sheet 'Illuminazione_naturale' and on the sheet 'Riassunto'.</v>
      </c>
    </row>
    <row r="37" spans="1:6" x14ac:dyDescent="0.3">
      <c r="A37" s="26" t="s">
        <v>1016</v>
      </c>
      <c r="B37" s="26" t="str">
        <f t="shared" si="0"/>
        <v>Se una tabella non è sufficiente, è possibile inserire i risultati di altri fogli in fondo al foglio 'Illuminazione_naturale'.</v>
      </c>
      <c r="C37" s="26" t="str">
        <f>"Falls eine Tabelle nicht ausreichen sollte, so können Sie die Ergebnisse von anderen Blättern unten im Blatt '"&amp;SheetDaylight&amp;"' eintragen."</f>
        <v>Falls eine Tabelle nicht ausreichen sollte, so können Sie die Ergebnisse von anderen Blättern unten im Blatt 'Illuminazione_naturale' eintragen.</v>
      </c>
      <c r="D37" s="217" t="str">
        <f>"Si un tableau n'est pas suffisant, vous pouvez saisir les résultats provenant d'autres feuilles au bas de la feuille '"&amp;SheetDaylight&amp;"'."</f>
        <v>Si un tableau n'est pas suffisant, vous pouvez saisir les résultats provenant d'autres feuilles au bas de la feuille 'Illuminazione_naturale'.</v>
      </c>
      <c r="E37" s="26" t="str">
        <f>"Se una tabella non è sufficiente, è possibile inserire i risultati di altri fogli in fondo al foglio '"&amp;SheetDaylight&amp;"'."</f>
        <v>Se una tabella non è sufficiente, è possibile inserire i risultati di altri fogli in fondo al foglio 'Illuminazione_naturale'.</v>
      </c>
      <c r="F37" s="26" t="str">
        <f>"If the number of rows is insufficient, you can report the results of other tools on the bottom of sheet '"&amp;SheetDaylight&amp;"'."</f>
        <v>If the number of rows is insufficient, you can report the results of other tools on the bottom of sheet 'Illuminazione_naturale'.</v>
      </c>
    </row>
    <row r="38" spans="1:6" x14ac:dyDescent="0.3">
      <c r="A38" s="26" t="s">
        <v>1015</v>
      </c>
      <c r="B38" s="26" t="str">
        <f t="shared" si="0"/>
        <v>Se avete domande sugli oggetti di certificazione, contattate il centro di certificazione competente.</v>
      </c>
      <c r="C38" s="26" t="s">
        <v>581</v>
      </c>
      <c r="D38" s="217" t="s">
        <v>943</v>
      </c>
      <c r="E38" s="26" t="s">
        <v>655</v>
      </c>
      <c r="F38" s="26" t="s">
        <v>657</v>
      </c>
    </row>
    <row r="39" spans="1:6" x14ac:dyDescent="0.3">
      <c r="A39" s="26" t="s">
        <v>1124</v>
      </c>
      <c r="B39" s="26" t="str">
        <f t="shared" si="0"/>
        <v>Esenzione per le scuole: un grado d'illuminazione naturale di almeno il 40% (vedi requisito 140.01 Illuminazione naturale).</v>
      </c>
      <c r="C39" s="259" t="s">
        <v>1096</v>
      </c>
      <c r="D39" s="259" t="s">
        <v>1094</v>
      </c>
      <c r="E39" s="259" t="s">
        <v>1095</v>
      </c>
      <c r="F39" s="259" t="s">
        <v>1115</v>
      </c>
    </row>
    <row r="41" spans="1:6" x14ac:dyDescent="0.3">
      <c r="A41" s="37" t="s">
        <v>171</v>
      </c>
      <c r="B41" s="37"/>
      <c r="C41" s="37"/>
      <c r="D41" s="37"/>
      <c r="E41" s="37"/>
      <c r="F41" s="37"/>
    </row>
    <row r="42" spans="1:6" x14ac:dyDescent="0.3">
      <c r="A42" s="37" t="s">
        <v>162</v>
      </c>
      <c r="B42" s="37" t="s">
        <v>163</v>
      </c>
      <c r="C42" s="37" t="str">
        <f>C$4</f>
        <v>Deutsch</v>
      </c>
      <c r="D42" s="37" t="str">
        <f>D$4</f>
        <v>Francais</v>
      </c>
      <c r="E42" s="37" t="str">
        <f>E$4</f>
        <v>Italiano</v>
      </c>
      <c r="F42" s="37" t="str">
        <f>F$4</f>
        <v>English</v>
      </c>
    </row>
    <row r="43" spans="1:6" x14ac:dyDescent="0.3">
      <c r="A43" s="26" t="s">
        <v>165</v>
      </c>
      <c r="B43" s="26" t="str">
        <f t="shared" ref="B43:B57" si="1">INDEX($C43:$F43,1,MATCH(Sprachwahl,ListSprache,0))</f>
        <v>Dati di Finestre</v>
      </c>
      <c r="C43" s="26" t="s">
        <v>66</v>
      </c>
      <c r="D43" s="217" t="s">
        <v>948</v>
      </c>
      <c r="E43" s="26" t="s">
        <v>627</v>
      </c>
      <c r="F43" s="26" t="s">
        <v>329</v>
      </c>
    </row>
    <row r="44" spans="1:6" x14ac:dyDescent="0.3">
      <c r="A44" s="26" t="s">
        <v>183</v>
      </c>
      <c r="B44" s="26" t="str">
        <f t="shared" si="1"/>
        <v>Dati di Finestre</v>
      </c>
      <c r="C44" s="26" t="s">
        <v>66</v>
      </c>
      <c r="D44" s="217" t="s">
        <v>948</v>
      </c>
      <c r="E44" s="26" t="s">
        <v>627</v>
      </c>
      <c r="F44" s="26" t="s">
        <v>329</v>
      </c>
    </row>
    <row r="45" spans="1:6" x14ac:dyDescent="0.3">
      <c r="A45" s="26" t="s">
        <v>174</v>
      </c>
      <c r="B45" s="26" t="str">
        <f t="shared" si="1"/>
        <v>Abbrev.
-</v>
      </c>
      <c r="C45" s="26" t="s">
        <v>77</v>
      </c>
      <c r="D45" s="26" t="s">
        <v>294</v>
      </c>
      <c r="E45" s="26" t="s">
        <v>644</v>
      </c>
      <c r="F45" s="26" t="s">
        <v>659</v>
      </c>
    </row>
    <row r="46" spans="1:6" x14ac:dyDescent="0.3">
      <c r="A46" s="26" t="s">
        <v>175</v>
      </c>
      <c r="B46" s="26" t="str">
        <f t="shared" si="1"/>
        <v>Descrizione
-</v>
      </c>
      <c r="C46" s="26" t="s">
        <v>76</v>
      </c>
      <c r="D46" s="217" t="s">
        <v>949</v>
      </c>
      <c r="E46" s="26" t="s">
        <v>645</v>
      </c>
      <c r="F46" s="26" t="s">
        <v>330</v>
      </c>
    </row>
    <row r="47" spans="1:6" x14ac:dyDescent="0.3">
      <c r="A47" s="26" t="s">
        <v>176</v>
      </c>
      <c r="B47" s="26" t="str">
        <f t="shared" si="1"/>
        <v>Larghe-zza
m</v>
      </c>
      <c r="C47" s="26" t="s">
        <v>73</v>
      </c>
      <c r="D47" s="26" t="s">
        <v>227</v>
      </c>
      <c r="E47" s="26" t="s">
        <v>641</v>
      </c>
      <c r="F47" s="26" t="s">
        <v>331</v>
      </c>
    </row>
    <row r="48" spans="1:6" x14ac:dyDescent="0.3">
      <c r="A48" s="26" t="s">
        <v>177</v>
      </c>
      <c r="B48" s="26" t="str">
        <f t="shared" si="1"/>
        <v>Profon-dità
m</v>
      </c>
      <c r="C48" s="26" t="s">
        <v>26</v>
      </c>
      <c r="D48" s="26" t="s">
        <v>295</v>
      </c>
      <c r="E48" s="26" t="s">
        <v>341</v>
      </c>
      <c r="F48" s="26" t="s">
        <v>332</v>
      </c>
    </row>
    <row r="49" spans="1:6" x14ac:dyDescent="0.3">
      <c r="A49" s="26" t="s">
        <v>178</v>
      </c>
      <c r="B49" s="26" t="str">
        <f t="shared" si="1"/>
        <v>Port. vetrata
%</v>
      </c>
      <c r="C49" s="26" t="s">
        <v>126</v>
      </c>
      <c r="D49" s="217" t="s">
        <v>950</v>
      </c>
      <c r="E49" s="26" t="s">
        <v>369</v>
      </c>
      <c r="F49" s="26" t="s">
        <v>333</v>
      </c>
    </row>
    <row r="50" spans="1:6" x14ac:dyDescent="0.3">
      <c r="A50" s="26" t="s">
        <v>179</v>
      </c>
      <c r="B50" s="26" t="str">
        <f t="shared" si="1"/>
        <v>Coeff. di luminos.
%</v>
      </c>
      <c r="C50" s="26" t="s">
        <v>74</v>
      </c>
      <c r="D50" s="217" t="s">
        <v>951</v>
      </c>
      <c r="E50" s="26" t="s">
        <v>342</v>
      </c>
      <c r="F50" s="26" t="s">
        <v>334</v>
      </c>
    </row>
    <row r="51" spans="1:6" x14ac:dyDescent="0.3">
      <c r="A51" s="26" t="s">
        <v>180</v>
      </c>
      <c r="B51" s="26" t="str">
        <f t="shared" si="1"/>
        <v>Distanza dal soffitto
m</v>
      </c>
      <c r="C51" s="26" t="s">
        <v>78</v>
      </c>
      <c r="D51" s="26" t="s">
        <v>250</v>
      </c>
      <c r="E51" s="26" t="s">
        <v>343</v>
      </c>
      <c r="F51" s="26" t="s">
        <v>335</v>
      </c>
    </row>
    <row r="52" spans="1:6" x14ac:dyDescent="0.3">
      <c r="A52" s="26" t="s">
        <v>181</v>
      </c>
      <c r="B52" s="26" t="str">
        <f t="shared" si="1"/>
        <v>Sporgenza
m</v>
      </c>
      <c r="C52" s="26" t="s">
        <v>145</v>
      </c>
      <c r="D52" s="26" t="s">
        <v>251</v>
      </c>
      <c r="E52" s="26" t="s">
        <v>640</v>
      </c>
      <c r="F52" s="26" t="s">
        <v>336</v>
      </c>
    </row>
    <row r="53" spans="1:6" x14ac:dyDescent="0.3">
      <c r="A53" s="26" t="s">
        <v>182</v>
      </c>
      <c r="B53" s="26" t="str">
        <f t="shared" si="1"/>
        <v>Lucernari
-</v>
      </c>
      <c r="C53" s="26" t="s">
        <v>112</v>
      </c>
      <c r="D53" s="26" t="s">
        <v>252</v>
      </c>
      <c r="E53" s="26" t="s">
        <v>642</v>
      </c>
      <c r="F53" s="26" t="s">
        <v>337</v>
      </c>
    </row>
    <row r="54" spans="1:6" x14ac:dyDescent="0.3">
      <c r="A54" s="26" t="s">
        <v>184</v>
      </c>
      <c r="B54" s="26" t="str">
        <f t="shared" si="1"/>
        <v>Protezione solare e ombreggiatura</v>
      </c>
      <c r="C54" s="26" t="s">
        <v>143</v>
      </c>
      <c r="D54" s="217" t="s">
        <v>952</v>
      </c>
      <c r="E54" s="26" t="s">
        <v>344</v>
      </c>
      <c r="F54" s="26" t="s">
        <v>338</v>
      </c>
    </row>
    <row r="55" spans="1:6" x14ac:dyDescent="0.3">
      <c r="A55" s="26" t="s">
        <v>185</v>
      </c>
      <c r="B55" s="26" t="str">
        <f t="shared" si="1"/>
        <v>Tipo
-</v>
      </c>
      <c r="C55" s="26" t="s">
        <v>65</v>
      </c>
      <c r="D55" s="26" t="s">
        <v>296</v>
      </c>
      <c r="E55" s="26" t="s">
        <v>345</v>
      </c>
      <c r="F55" s="26" t="s">
        <v>296</v>
      </c>
    </row>
    <row r="56" spans="1:6" x14ac:dyDescent="0.3">
      <c r="A56" s="26" t="s">
        <v>186</v>
      </c>
      <c r="B56" s="26" t="str">
        <f t="shared" si="1"/>
        <v>Controllo
-</v>
      </c>
      <c r="C56" s="26" t="s">
        <v>79</v>
      </c>
      <c r="D56" s="217" t="s">
        <v>953</v>
      </c>
      <c r="E56" s="26" t="s">
        <v>346</v>
      </c>
      <c r="F56" s="26" t="s">
        <v>339</v>
      </c>
    </row>
    <row r="57" spans="1:6" x14ac:dyDescent="0.3">
      <c r="A57" s="26" t="s">
        <v>187</v>
      </c>
      <c r="B57" s="26" t="str">
        <f t="shared" si="1"/>
        <v>Ombreggiatura
-</v>
      </c>
      <c r="C57" s="26" t="s">
        <v>111</v>
      </c>
      <c r="D57" s="217" t="s">
        <v>954</v>
      </c>
      <c r="E57" s="26" t="s">
        <v>643</v>
      </c>
      <c r="F57" s="26" t="s">
        <v>340</v>
      </c>
    </row>
    <row r="59" spans="1:6" x14ac:dyDescent="0.3">
      <c r="A59" s="37" t="s">
        <v>188</v>
      </c>
      <c r="B59" s="37"/>
      <c r="C59" s="37"/>
      <c r="D59" s="37"/>
      <c r="E59" s="37"/>
      <c r="F59" s="37"/>
    </row>
    <row r="60" spans="1:6" x14ac:dyDescent="0.3">
      <c r="A60" s="37" t="s">
        <v>162</v>
      </c>
      <c r="B60" s="37" t="s">
        <v>163</v>
      </c>
      <c r="C60" s="37" t="str">
        <f>C$4</f>
        <v>Deutsch</v>
      </c>
      <c r="D60" s="37" t="str">
        <f>D$4</f>
        <v>Francais</v>
      </c>
      <c r="E60" s="37" t="str">
        <f>E$4</f>
        <v>Italiano</v>
      </c>
      <c r="F60" s="37" t="str">
        <f>F$4</f>
        <v>English</v>
      </c>
    </row>
    <row r="61" spans="1:6" x14ac:dyDescent="0.3">
      <c r="A61" s="26" t="s">
        <v>165</v>
      </c>
      <c r="B61" s="26" t="str">
        <f t="shared" ref="B61:B97" si="2">INDEX($C61:$F61,1,MATCH(Sprachwahl,ListSprache,0))</f>
        <v>Locali tipo e illuminazione naturale</v>
      </c>
      <c r="C61" s="26" t="s">
        <v>189</v>
      </c>
      <c r="D61" s="26" t="s">
        <v>225</v>
      </c>
      <c r="E61" s="26" t="s">
        <v>310</v>
      </c>
      <c r="F61" s="26" t="s">
        <v>347</v>
      </c>
    </row>
    <row r="62" spans="1:6" x14ac:dyDescent="0.3">
      <c r="A62" s="26" t="s">
        <v>183</v>
      </c>
      <c r="B62" s="26" t="str">
        <f t="shared" si="2"/>
        <v>Locale Tipo</v>
      </c>
      <c r="C62" s="26" t="s">
        <v>7</v>
      </c>
      <c r="D62" s="26" t="s">
        <v>226</v>
      </c>
      <c r="E62" s="26" t="s">
        <v>311</v>
      </c>
      <c r="F62" s="26" t="s">
        <v>348</v>
      </c>
    </row>
    <row r="63" spans="1:6" x14ac:dyDescent="0.3">
      <c r="A63" s="26" t="s">
        <v>739</v>
      </c>
      <c r="B63" s="26" t="str">
        <f t="shared" si="2"/>
        <v>Ris.</v>
      </c>
      <c r="C63" s="26" t="s">
        <v>738</v>
      </c>
      <c r="D63" s="26" t="s">
        <v>740</v>
      </c>
      <c r="E63" s="26" t="s">
        <v>741</v>
      </c>
      <c r="F63" s="26" t="s">
        <v>738</v>
      </c>
    </row>
    <row r="64" spans="1:6" x14ac:dyDescent="0.3">
      <c r="A64" s="26" t="s">
        <v>191</v>
      </c>
      <c r="B64" s="26" t="str">
        <f t="shared" si="2"/>
        <v>Nr.</v>
      </c>
      <c r="C64" s="26" t="s">
        <v>48</v>
      </c>
      <c r="D64" s="26" t="s">
        <v>48</v>
      </c>
      <c r="E64" s="26" t="s">
        <v>48</v>
      </c>
      <c r="F64" s="26" t="s">
        <v>349</v>
      </c>
    </row>
    <row r="65" spans="1:6" x14ac:dyDescent="0.3">
      <c r="A65" s="26" t="s">
        <v>174</v>
      </c>
      <c r="B65" s="26" t="str">
        <f t="shared" si="2"/>
        <v>Designazione locale
-</v>
      </c>
      <c r="C65" s="26" t="s">
        <v>647</v>
      </c>
      <c r="D65" s="217" t="s">
        <v>955</v>
      </c>
      <c r="E65" s="26" t="s">
        <v>648</v>
      </c>
      <c r="F65" s="26" t="s">
        <v>649</v>
      </c>
    </row>
    <row r="66" spans="1:6" x14ac:dyDescent="0.3">
      <c r="A66" s="26" t="s">
        <v>175</v>
      </c>
      <c r="B66" s="26" t="str">
        <f t="shared" si="2"/>
        <v>Utilizzo
-</v>
      </c>
      <c r="C66" s="26" t="s">
        <v>662</v>
      </c>
      <c r="D66" s="26" t="s">
        <v>663</v>
      </c>
      <c r="E66" s="26" t="s">
        <v>652</v>
      </c>
      <c r="F66" s="26" t="s">
        <v>661</v>
      </c>
    </row>
    <row r="67" spans="1:6" x14ac:dyDescent="0.3">
      <c r="A67" s="26" t="s">
        <v>192</v>
      </c>
      <c r="B67" s="26" t="str">
        <f t="shared" si="2"/>
        <v>Dati dello locale</v>
      </c>
      <c r="C67" s="26" t="s">
        <v>64</v>
      </c>
      <c r="D67" s="217" t="s">
        <v>956</v>
      </c>
      <c r="E67" s="26" t="s">
        <v>312</v>
      </c>
      <c r="F67" s="26" t="s">
        <v>350</v>
      </c>
    </row>
    <row r="68" spans="1:6" x14ac:dyDescent="0.3">
      <c r="A68" s="26" t="s">
        <v>176</v>
      </c>
      <c r="B68" s="26" t="str">
        <f t="shared" si="2"/>
        <v>Larghe-zza
m</v>
      </c>
      <c r="C68" s="26" t="s">
        <v>24</v>
      </c>
      <c r="D68" s="26" t="s">
        <v>227</v>
      </c>
      <c r="E68" s="26" t="s">
        <v>641</v>
      </c>
      <c r="F68" s="26" t="s">
        <v>331</v>
      </c>
    </row>
    <row r="69" spans="1:6" x14ac:dyDescent="0.3">
      <c r="A69" s="26" t="s">
        <v>177</v>
      </c>
      <c r="B69" s="26" t="str">
        <f t="shared" si="2"/>
        <v>Profon-dità
m</v>
      </c>
      <c r="C69" s="26" t="s">
        <v>25</v>
      </c>
      <c r="D69" s="26" t="s">
        <v>228</v>
      </c>
      <c r="E69" s="26" t="s">
        <v>341</v>
      </c>
      <c r="F69" s="26" t="s">
        <v>351</v>
      </c>
    </row>
    <row r="70" spans="1:6" x14ac:dyDescent="0.3">
      <c r="A70" s="26" t="s">
        <v>178</v>
      </c>
      <c r="B70" s="26" t="str">
        <f t="shared" si="2"/>
        <v>Alte-zza
m</v>
      </c>
      <c r="C70" s="26" t="s">
        <v>26</v>
      </c>
      <c r="D70" s="26" t="s">
        <v>229</v>
      </c>
      <c r="E70" s="26" t="s">
        <v>646</v>
      </c>
      <c r="F70" s="26" t="s">
        <v>332</v>
      </c>
    </row>
    <row r="71" spans="1:6" x14ac:dyDescent="0.3">
      <c r="A71" s="26" t="s">
        <v>179</v>
      </c>
      <c r="B71" s="26" t="str">
        <f t="shared" si="2"/>
        <v>Superfi-cie
m2</v>
      </c>
      <c r="C71" s="26" t="s">
        <v>190</v>
      </c>
      <c r="D71" s="26" t="s">
        <v>230</v>
      </c>
      <c r="E71" s="26" t="s">
        <v>650</v>
      </c>
      <c r="F71" s="26" t="s">
        <v>352</v>
      </c>
    </row>
    <row r="72" spans="1:6" x14ac:dyDescent="0.3">
      <c r="A72" s="26" t="s">
        <v>180</v>
      </c>
      <c r="B72" s="26" t="str">
        <f t="shared" si="2"/>
        <v>Quantità
n.</v>
      </c>
      <c r="C72" s="26" t="s">
        <v>37</v>
      </c>
      <c r="D72" s="26" t="s">
        <v>231</v>
      </c>
      <c r="E72" s="26" t="s">
        <v>628</v>
      </c>
      <c r="F72" s="26" t="s">
        <v>353</v>
      </c>
    </row>
    <row r="73" spans="1:6" x14ac:dyDescent="0.3">
      <c r="A73" s="26" t="s">
        <v>181</v>
      </c>
      <c r="B73" s="26" t="str">
        <f t="shared" si="2"/>
        <v>Riflessi-one
-</v>
      </c>
      <c r="C73" s="26" t="s">
        <v>38</v>
      </c>
      <c r="D73" s="26" t="s">
        <v>233</v>
      </c>
      <c r="E73" s="26" t="s">
        <v>653</v>
      </c>
      <c r="F73" s="26" t="s">
        <v>660</v>
      </c>
    </row>
    <row r="74" spans="1:6" x14ac:dyDescent="0.3">
      <c r="A74" s="26" t="s">
        <v>193</v>
      </c>
      <c r="B74" s="26" t="str">
        <f t="shared" si="2"/>
        <v>Finestre</v>
      </c>
      <c r="C74" s="26" t="s">
        <v>62</v>
      </c>
      <c r="D74" s="26" t="s">
        <v>234</v>
      </c>
      <c r="E74" s="26" t="s">
        <v>313</v>
      </c>
      <c r="F74" s="26" t="s">
        <v>354</v>
      </c>
    </row>
    <row r="75" spans="1:6" x14ac:dyDescent="0.3">
      <c r="A75" s="26" t="s">
        <v>182</v>
      </c>
      <c r="B75" s="26" t="str">
        <f t="shared" si="2"/>
        <v>Tipo 1
-</v>
      </c>
      <c r="C75" s="26" t="s">
        <v>117</v>
      </c>
      <c r="D75" s="26" t="s">
        <v>235</v>
      </c>
      <c r="E75" s="26" t="s">
        <v>314</v>
      </c>
      <c r="F75" s="26" t="s">
        <v>235</v>
      </c>
    </row>
    <row r="76" spans="1:6" x14ac:dyDescent="0.3">
      <c r="A76" s="26" t="s">
        <v>185</v>
      </c>
      <c r="B76" s="26" t="str">
        <f t="shared" si="2"/>
        <v>Qantità
n.</v>
      </c>
      <c r="C76" s="26" t="s">
        <v>37</v>
      </c>
      <c r="D76" s="26" t="s">
        <v>231</v>
      </c>
      <c r="E76" s="26" t="s">
        <v>629</v>
      </c>
      <c r="F76" s="26" t="s">
        <v>353</v>
      </c>
    </row>
    <row r="77" spans="1:6" x14ac:dyDescent="0.3">
      <c r="A77" s="26" t="s">
        <v>186</v>
      </c>
      <c r="B77" s="26" t="str">
        <f t="shared" si="2"/>
        <v>Tipo 2
-</v>
      </c>
      <c r="C77" s="26" t="s">
        <v>118</v>
      </c>
      <c r="D77" s="26" t="s">
        <v>236</v>
      </c>
      <c r="E77" s="26" t="s">
        <v>315</v>
      </c>
      <c r="F77" s="26" t="s">
        <v>236</v>
      </c>
    </row>
    <row r="78" spans="1:6" x14ac:dyDescent="0.3">
      <c r="A78" s="26" t="s">
        <v>187</v>
      </c>
      <c r="B78" s="26" t="str">
        <f t="shared" si="2"/>
        <v>Qantità
n.</v>
      </c>
      <c r="C78" s="26" t="s">
        <v>37</v>
      </c>
      <c r="D78" s="26" t="s">
        <v>231</v>
      </c>
      <c r="E78" s="26" t="s">
        <v>629</v>
      </c>
      <c r="F78" s="26" t="s">
        <v>353</v>
      </c>
    </row>
    <row r="79" spans="1:6" x14ac:dyDescent="0.3">
      <c r="A79" s="26" t="s">
        <v>194</v>
      </c>
      <c r="B79" s="26" t="str">
        <f t="shared" si="2"/>
        <v>Tipo 3
-</v>
      </c>
      <c r="C79" s="26" t="s">
        <v>119</v>
      </c>
      <c r="D79" s="26" t="s">
        <v>237</v>
      </c>
      <c r="E79" s="26" t="s">
        <v>316</v>
      </c>
      <c r="F79" s="26" t="s">
        <v>237</v>
      </c>
    </row>
    <row r="80" spans="1:6" x14ac:dyDescent="0.3">
      <c r="A80" s="26" t="s">
        <v>195</v>
      </c>
      <c r="B80" s="26" t="str">
        <f t="shared" si="2"/>
        <v>Qantità
n.</v>
      </c>
      <c r="C80" s="26" t="s">
        <v>37</v>
      </c>
      <c r="D80" s="26" t="s">
        <v>231</v>
      </c>
      <c r="E80" s="26" t="s">
        <v>629</v>
      </c>
      <c r="F80" s="26" t="s">
        <v>353</v>
      </c>
    </row>
    <row r="81" spans="1:6" x14ac:dyDescent="0.3">
      <c r="A81" s="26" t="s">
        <v>196</v>
      </c>
      <c r="B81" s="26" t="str">
        <f t="shared" si="2"/>
        <v>Tipo 4
-</v>
      </c>
      <c r="C81" s="26" t="s">
        <v>120</v>
      </c>
      <c r="D81" s="26" t="s">
        <v>238</v>
      </c>
      <c r="E81" s="26" t="s">
        <v>317</v>
      </c>
      <c r="F81" s="26" t="s">
        <v>238</v>
      </c>
    </row>
    <row r="82" spans="1:6" x14ac:dyDescent="0.3">
      <c r="A82" s="26" t="s">
        <v>197</v>
      </c>
      <c r="B82" s="26" t="str">
        <f t="shared" si="2"/>
        <v>Qantità
n.</v>
      </c>
      <c r="C82" s="26" t="s">
        <v>37</v>
      </c>
      <c r="D82" s="26" t="s">
        <v>231</v>
      </c>
      <c r="E82" s="26" t="s">
        <v>629</v>
      </c>
      <c r="F82" s="26" t="s">
        <v>353</v>
      </c>
    </row>
    <row r="83" spans="1:6" x14ac:dyDescent="0.3">
      <c r="A83" s="26" t="s">
        <v>742</v>
      </c>
      <c r="B83" s="26" t="str">
        <f t="shared" si="2"/>
        <v>Quota illum.
%</v>
      </c>
      <c r="C83" s="26" t="s">
        <v>743</v>
      </c>
      <c r="D83" s="26" t="s">
        <v>744</v>
      </c>
      <c r="E83" s="26" t="s">
        <v>745</v>
      </c>
      <c r="F83" s="26" t="s">
        <v>788</v>
      </c>
    </row>
    <row r="84" spans="1:6" x14ac:dyDescent="0.3">
      <c r="A84" s="26" t="s">
        <v>492</v>
      </c>
      <c r="B84" s="26" t="str">
        <f t="shared" si="2"/>
        <v>Risultati</v>
      </c>
      <c r="C84" s="26" t="s">
        <v>121</v>
      </c>
      <c r="D84" s="26" t="s">
        <v>239</v>
      </c>
      <c r="E84" s="26" t="s">
        <v>318</v>
      </c>
      <c r="F84" s="26" t="s">
        <v>355</v>
      </c>
    </row>
    <row r="85" spans="1:6" x14ac:dyDescent="0.3">
      <c r="A85" s="26" t="s">
        <v>493</v>
      </c>
      <c r="B85" s="26" t="str">
        <f t="shared" si="2"/>
        <v>Risultati di questo foglio</v>
      </c>
      <c r="C85" s="26" t="s">
        <v>530</v>
      </c>
      <c r="D85" s="26" t="s">
        <v>483</v>
      </c>
      <c r="E85" s="26" t="s">
        <v>630</v>
      </c>
      <c r="F85" s="26" t="s">
        <v>484</v>
      </c>
    </row>
    <row r="86" spans="1:6" x14ac:dyDescent="0.3">
      <c r="A86" s="26" t="s">
        <v>494</v>
      </c>
      <c r="B86" s="26" t="str">
        <f t="shared" si="2"/>
        <v>Riporto di un'altra prova</v>
      </c>
      <c r="C86" s="217" t="s">
        <v>957</v>
      </c>
      <c r="D86" s="217" t="s">
        <v>958</v>
      </c>
      <c r="E86" s="217" t="s">
        <v>959</v>
      </c>
      <c r="F86" s="217" t="s">
        <v>960</v>
      </c>
    </row>
    <row r="87" spans="1:6" x14ac:dyDescent="0.3">
      <c r="A87" s="26" t="s">
        <v>495</v>
      </c>
      <c r="B87" s="26" t="str">
        <f t="shared" si="2"/>
        <v>Risultati globali</v>
      </c>
      <c r="C87" s="26" t="s">
        <v>488</v>
      </c>
      <c r="D87" s="26" t="s">
        <v>489</v>
      </c>
      <c r="E87" s="26" t="s">
        <v>490</v>
      </c>
      <c r="F87" s="26" t="s">
        <v>491</v>
      </c>
    </row>
    <row r="88" spans="1:6" x14ac:dyDescent="0.3">
      <c r="A88" s="26" t="s">
        <v>496</v>
      </c>
      <c r="B88" s="26" t="str">
        <f t="shared" si="2"/>
        <v>Descrizione</v>
      </c>
      <c r="C88" s="26" t="s">
        <v>72</v>
      </c>
      <c r="D88" s="26" t="s">
        <v>485</v>
      </c>
      <c r="E88" s="26" t="s">
        <v>486</v>
      </c>
      <c r="F88" s="26" t="s">
        <v>487</v>
      </c>
    </row>
    <row r="89" spans="1:6" x14ac:dyDescent="0.3">
      <c r="A89" s="26" t="s">
        <v>497</v>
      </c>
      <c r="B89" s="26" t="str">
        <f t="shared" si="2"/>
        <v>Superficie netto</v>
      </c>
      <c r="C89" s="26" t="s">
        <v>746</v>
      </c>
      <c r="D89" s="26" t="s">
        <v>477</v>
      </c>
      <c r="E89" s="26" t="s">
        <v>747</v>
      </c>
      <c r="F89" s="26" t="s">
        <v>476</v>
      </c>
    </row>
    <row r="90" spans="1:6" x14ac:dyDescent="0.3">
      <c r="A90" s="26" t="s">
        <v>498</v>
      </c>
      <c r="B90" s="26" t="str">
        <f t="shared" si="2"/>
        <v>Risultato</v>
      </c>
      <c r="C90" s="26" t="s">
        <v>478</v>
      </c>
      <c r="D90" s="26" t="s">
        <v>479</v>
      </c>
      <c r="E90" s="26" t="s">
        <v>480</v>
      </c>
      <c r="F90" s="26" t="s">
        <v>481</v>
      </c>
    </row>
    <row r="91" spans="1:6" x14ac:dyDescent="0.3">
      <c r="A91" s="26" t="s">
        <v>499</v>
      </c>
      <c r="B91" s="26" t="str">
        <f t="shared" si="2"/>
        <v>Superficie netto</v>
      </c>
      <c r="C91" s="26" t="s">
        <v>746</v>
      </c>
      <c r="D91" s="26" t="s">
        <v>477</v>
      </c>
      <c r="E91" s="26" t="s">
        <v>747</v>
      </c>
      <c r="F91" s="26" t="s">
        <v>476</v>
      </c>
    </row>
    <row r="92" spans="1:6" x14ac:dyDescent="0.3">
      <c r="A92" s="26" t="s">
        <v>500</v>
      </c>
      <c r="B92" s="26" t="str">
        <f t="shared" si="2"/>
        <v>Superficie netto</v>
      </c>
      <c r="C92" s="26" t="s">
        <v>746</v>
      </c>
      <c r="D92" s="26" t="s">
        <v>477</v>
      </c>
      <c r="E92" s="26" t="s">
        <v>747</v>
      </c>
      <c r="F92" s="26" t="s">
        <v>476</v>
      </c>
    </row>
    <row r="93" spans="1:6" x14ac:dyDescent="0.3">
      <c r="A93" s="26" t="s">
        <v>501</v>
      </c>
      <c r="B93" s="26" t="str">
        <f t="shared" si="2"/>
        <v>Risultato</v>
      </c>
      <c r="C93" s="26" t="s">
        <v>478</v>
      </c>
      <c r="D93" s="26" t="s">
        <v>479</v>
      </c>
      <c r="E93" s="26" t="s">
        <v>480</v>
      </c>
      <c r="F93" s="26" t="s">
        <v>481</v>
      </c>
    </row>
    <row r="94" spans="1:6" x14ac:dyDescent="0.3">
      <c r="A94" s="26" t="s">
        <v>502</v>
      </c>
      <c r="B94" s="26" t="str">
        <f t="shared" si="2"/>
        <v>Risultato</v>
      </c>
      <c r="C94" s="26" t="s">
        <v>478</v>
      </c>
      <c r="D94" s="26" t="s">
        <v>479</v>
      </c>
      <c r="E94" s="26" t="s">
        <v>480</v>
      </c>
      <c r="F94" s="26" t="s">
        <v>481</v>
      </c>
    </row>
    <row r="95" spans="1:6" x14ac:dyDescent="0.3">
      <c r="A95" s="26" t="s">
        <v>503</v>
      </c>
      <c r="B95" s="26" t="str">
        <f t="shared" si="2"/>
        <v>Quota d'illuminazione naturale</v>
      </c>
      <c r="C95" s="259" t="s">
        <v>1106</v>
      </c>
      <c r="D95" s="259" t="s">
        <v>1107</v>
      </c>
      <c r="E95" s="259" t="s">
        <v>1108</v>
      </c>
      <c r="F95" s="259" t="s">
        <v>1109</v>
      </c>
    </row>
    <row r="96" spans="1:6" x14ac:dyDescent="0.3">
      <c r="A96" s="26" t="s">
        <v>504</v>
      </c>
      <c r="B96" s="26" t="str">
        <f t="shared" si="2"/>
        <v>Quota di superficie con un risultato insufficiente</v>
      </c>
      <c r="C96" s="259" t="s">
        <v>1102</v>
      </c>
      <c r="D96" s="259" t="s">
        <v>1103</v>
      </c>
      <c r="E96" s="259" t="s">
        <v>1104</v>
      </c>
      <c r="F96" s="259" t="s">
        <v>1105</v>
      </c>
    </row>
    <row r="97" spans="1:6" x14ac:dyDescent="0.3">
      <c r="A97" s="26" t="s">
        <v>505</v>
      </c>
      <c r="B97" s="26" t="str">
        <f t="shared" si="2"/>
        <v>Le esigenze del complemento ECO</v>
      </c>
      <c r="C97" s="217" t="s">
        <v>1003</v>
      </c>
      <c r="D97" s="217" t="s">
        <v>1004</v>
      </c>
      <c r="E97" s="217" t="s">
        <v>1005</v>
      </c>
      <c r="F97" s="217" t="s">
        <v>1006</v>
      </c>
    </row>
    <row r="99" spans="1:6" x14ac:dyDescent="0.3">
      <c r="A99" s="37" t="s">
        <v>805</v>
      </c>
      <c r="B99" s="37"/>
      <c r="C99" s="37"/>
      <c r="D99" s="37"/>
      <c r="E99" s="37"/>
      <c r="F99" s="37"/>
    </row>
    <row r="100" spans="1:6" x14ac:dyDescent="0.3">
      <c r="A100" s="37" t="s">
        <v>162</v>
      </c>
      <c r="B100" s="37" t="s">
        <v>163</v>
      </c>
      <c r="C100" s="37" t="str">
        <f>C$4</f>
        <v>Deutsch</v>
      </c>
      <c r="D100" s="37" t="str">
        <f>D$4</f>
        <v>Francais</v>
      </c>
      <c r="E100" s="37" t="str">
        <f>E$4</f>
        <v>Italiano</v>
      </c>
      <c r="F100" s="37" t="str">
        <f>F$4</f>
        <v>English</v>
      </c>
    </row>
    <row r="101" spans="1:6" x14ac:dyDescent="0.3">
      <c r="A101" s="26" t="s">
        <v>165</v>
      </c>
      <c r="B101" s="26" t="str">
        <f t="shared" ref="B101:B125" si="3">INDEX($C101:$F101,1,MATCH(Sprachwahl,ListSprache,0))</f>
        <v>Locali tipo e prospettive</v>
      </c>
      <c r="C101" s="26" t="s">
        <v>827</v>
      </c>
      <c r="D101" s="217" t="s">
        <v>961</v>
      </c>
      <c r="E101" s="26" t="s">
        <v>829</v>
      </c>
      <c r="F101" s="26" t="s">
        <v>828</v>
      </c>
    </row>
    <row r="102" spans="1:6" x14ac:dyDescent="0.3">
      <c r="A102" s="26" t="s">
        <v>183</v>
      </c>
      <c r="B102" s="26" t="str">
        <f t="shared" si="3"/>
        <v>Locale Tipo</v>
      </c>
      <c r="C102" s="26" t="s">
        <v>7</v>
      </c>
      <c r="D102" s="26" t="s">
        <v>226</v>
      </c>
      <c r="E102" s="26" t="s">
        <v>311</v>
      </c>
      <c r="F102" s="26" t="s">
        <v>348</v>
      </c>
    </row>
    <row r="103" spans="1:6" x14ac:dyDescent="0.3">
      <c r="A103" s="26" t="s">
        <v>843</v>
      </c>
      <c r="B103" s="26" t="str">
        <f t="shared" si="3"/>
        <v>Dati dello locale</v>
      </c>
      <c r="C103" s="26" t="s">
        <v>64</v>
      </c>
      <c r="D103" s="26" t="s">
        <v>232</v>
      </c>
      <c r="E103" s="26" t="s">
        <v>312</v>
      </c>
      <c r="F103" s="26" t="s">
        <v>350</v>
      </c>
    </row>
    <row r="104" spans="1:6" x14ac:dyDescent="0.3">
      <c r="A104" s="26" t="s">
        <v>739</v>
      </c>
      <c r="B104" s="26" t="str">
        <f t="shared" si="3"/>
        <v>Ris.</v>
      </c>
      <c r="C104" s="26" t="s">
        <v>738</v>
      </c>
      <c r="D104" s="26" t="s">
        <v>740</v>
      </c>
      <c r="E104" s="26" t="s">
        <v>741</v>
      </c>
      <c r="F104" s="26" t="s">
        <v>738</v>
      </c>
    </row>
    <row r="105" spans="1:6" x14ac:dyDescent="0.3">
      <c r="A105" s="26" t="s">
        <v>191</v>
      </c>
      <c r="B105" s="26" t="str">
        <f t="shared" si="3"/>
        <v>Nr.</v>
      </c>
      <c r="C105" s="26" t="s">
        <v>48</v>
      </c>
      <c r="D105" s="26" t="s">
        <v>48</v>
      </c>
      <c r="E105" s="26" t="s">
        <v>48</v>
      </c>
      <c r="F105" s="26" t="s">
        <v>349</v>
      </c>
    </row>
    <row r="106" spans="1:6" x14ac:dyDescent="0.3">
      <c r="A106" s="26" t="s">
        <v>174</v>
      </c>
      <c r="B106" s="26" t="str">
        <f t="shared" si="3"/>
        <v>Designazione locale
-</v>
      </c>
      <c r="C106" s="26" t="s">
        <v>647</v>
      </c>
      <c r="D106" s="217" t="s">
        <v>955</v>
      </c>
      <c r="E106" s="26" t="s">
        <v>648</v>
      </c>
      <c r="F106" s="26" t="s">
        <v>649</v>
      </c>
    </row>
    <row r="107" spans="1:6" ht="24.9" x14ac:dyDescent="0.3">
      <c r="A107" s="26" t="s">
        <v>175</v>
      </c>
      <c r="B107" s="214" t="str">
        <f t="shared" si="3"/>
        <v>Profondità dell'area usata
m</v>
      </c>
      <c r="C107" s="214" t="s">
        <v>962</v>
      </c>
      <c r="D107" s="217" t="s">
        <v>963</v>
      </c>
      <c r="E107" s="214" t="s">
        <v>831</v>
      </c>
      <c r="F107" s="214" t="s">
        <v>833</v>
      </c>
    </row>
    <row r="108" spans="1:6" x14ac:dyDescent="0.3">
      <c r="A108" s="26" t="s">
        <v>176</v>
      </c>
      <c r="B108" s="26" t="str">
        <f t="shared" si="3"/>
        <v>Raggio visivo
m</v>
      </c>
      <c r="C108" s="26" t="s">
        <v>802</v>
      </c>
      <c r="D108" s="217" t="s">
        <v>964</v>
      </c>
      <c r="E108" s="26" t="s">
        <v>836</v>
      </c>
      <c r="F108" s="26" t="s">
        <v>837</v>
      </c>
    </row>
    <row r="109" spans="1:6" x14ac:dyDescent="0.3">
      <c r="A109" s="26" t="s">
        <v>177</v>
      </c>
      <c r="B109" s="26" t="str">
        <f t="shared" si="3"/>
        <v>Livelli di visione
-</v>
      </c>
      <c r="C109" s="26" t="s">
        <v>791</v>
      </c>
      <c r="D109" s="217" t="s">
        <v>965</v>
      </c>
      <c r="E109" s="26" t="s">
        <v>838</v>
      </c>
      <c r="F109" s="26" t="s">
        <v>839</v>
      </c>
    </row>
    <row r="110" spans="1:6" x14ac:dyDescent="0.3">
      <c r="A110" s="26" t="s">
        <v>179</v>
      </c>
      <c r="B110" s="26" t="str">
        <f t="shared" si="3"/>
        <v>Risultato
-</v>
      </c>
      <c r="C110" s="26" t="s">
        <v>844</v>
      </c>
      <c r="D110" s="26" t="s">
        <v>845</v>
      </c>
      <c r="E110" s="26" t="s">
        <v>846</v>
      </c>
      <c r="F110" s="26" t="s">
        <v>847</v>
      </c>
    </row>
    <row r="111" spans="1:6" x14ac:dyDescent="0.3">
      <c r="A111" s="26" t="s">
        <v>180</v>
      </c>
      <c r="B111" s="26" t="str">
        <f t="shared" si="3"/>
        <v>Risultato
Pt.</v>
      </c>
      <c r="C111" s="26" t="s">
        <v>858</v>
      </c>
      <c r="D111" s="26" t="s">
        <v>859</v>
      </c>
      <c r="E111" s="26" t="s">
        <v>860</v>
      </c>
      <c r="F111" s="26" t="s">
        <v>861</v>
      </c>
    </row>
    <row r="112" spans="1:6" x14ac:dyDescent="0.3">
      <c r="A112" s="26" t="s">
        <v>492</v>
      </c>
      <c r="B112" s="26" t="str">
        <f t="shared" si="3"/>
        <v>Risultati</v>
      </c>
      <c r="C112" s="26" t="s">
        <v>121</v>
      </c>
      <c r="D112" s="26" t="s">
        <v>239</v>
      </c>
      <c r="E112" s="26" t="s">
        <v>318</v>
      </c>
      <c r="F112" s="26" t="s">
        <v>355</v>
      </c>
    </row>
    <row r="113" spans="1:6" x14ac:dyDescent="0.3">
      <c r="A113" s="26" t="s">
        <v>853</v>
      </c>
      <c r="B113" s="26" t="str">
        <f t="shared" si="3"/>
        <v>Risultati di questo foglio</v>
      </c>
      <c r="C113" s="26" t="s">
        <v>530</v>
      </c>
      <c r="D113" s="26" t="s">
        <v>483</v>
      </c>
      <c r="E113" s="26" t="s">
        <v>630</v>
      </c>
      <c r="F113" s="26" t="s">
        <v>484</v>
      </c>
    </row>
    <row r="114" spans="1:6" x14ac:dyDescent="0.3">
      <c r="A114" s="26" t="s">
        <v>850</v>
      </c>
      <c r="B114" s="26" t="str">
        <f t="shared" si="3"/>
        <v>Riporto di un'altra prova</v>
      </c>
      <c r="C114" s="217" t="s">
        <v>957</v>
      </c>
      <c r="D114" s="217" t="s">
        <v>958</v>
      </c>
      <c r="E114" s="217" t="s">
        <v>959</v>
      </c>
      <c r="F114" s="217" t="s">
        <v>960</v>
      </c>
    </row>
    <row r="115" spans="1:6" x14ac:dyDescent="0.3">
      <c r="A115" s="26" t="s">
        <v>854</v>
      </c>
      <c r="B115" s="26" t="str">
        <f t="shared" si="3"/>
        <v>Risultati globali</v>
      </c>
      <c r="C115" s="26" t="s">
        <v>488</v>
      </c>
      <c r="D115" s="217" t="s">
        <v>966</v>
      </c>
      <c r="E115" s="26" t="s">
        <v>490</v>
      </c>
      <c r="F115" s="26" t="s">
        <v>491</v>
      </c>
    </row>
    <row r="116" spans="1:6" x14ac:dyDescent="0.3">
      <c r="A116" s="26" t="s">
        <v>496</v>
      </c>
      <c r="B116" s="26" t="str">
        <f t="shared" si="3"/>
        <v>Descrizione</v>
      </c>
      <c r="C116" s="26" t="s">
        <v>72</v>
      </c>
      <c r="D116" s="26" t="s">
        <v>485</v>
      </c>
      <c r="E116" s="26" t="s">
        <v>486</v>
      </c>
      <c r="F116" s="26" t="s">
        <v>487</v>
      </c>
    </row>
    <row r="117" spans="1:6" x14ac:dyDescent="0.3">
      <c r="A117" s="26" t="s">
        <v>855</v>
      </c>
      <c r="B117" s="26" t="str">
        <f t="shared" si="3"/>
        <v>Superficie netto</v>
      </c>
      <c r="C117" s="26" t="s">
        <v>746</v>
      </c>
      <c r="D117" s="26" t="s">
        <v>477</v>
      </c>
      <c r="E117" s="26" t="s">
        <v>747</v>
      </c>
      <c r="F117" s="26" t="s">
        <v>476</v>
      </c>
    </row>
    <row r="118" spans="1:6" x14ac:dyDescent="0.3">
      <c r="A118" s="26" t="s">
        <v>856</v>
      </c>
      <c r="B118" s="26" t="str">
        <f t="shared" si="3"/>
        <v>Risultato</v>
      </c>
      <c r="C118" s="26" t="s">
        <v>478</v>
      </c>
      <c r="D118" s="26" t="s">
        <v>479</v>
      </c>
      <c r="E118" s="26" t="s">
        <v>480</v>
      </c>
      <c r="F118" s="26" t="s">
        <v>481</v>
      </c>
    </row>
    <row r="119" spans="1:6" x14ac:dyDescent="0.3">
      <c r="A119" s="26" t="s">
        <v>851</v>
      </c>
      <c r="B119" s="26" t="str">
        <f t="shared" si="3"/>
        <v>Superficie netto</v>
      </c>
      <c r="C119" s="26" t="s">
        <v>746</v>
      </c>
      <c r="D119" s="26" t="s">
        <v>477</v>
      </c>
      <c r="E119" s="26" t="s">
        <v>747</v>
      </c>
      <c r="F119" s="26" t="s">
        <v>476</v>
      </c>
    </row>
    <row r="120" spans="1:6" x14ac:dyDescent="0.3">
      <c r="A120" s="26" t="s">
        <v>852</v>
      </c>
      <c r="B120" s="26" t="str">
        <f t="shared" si="3"/>
        <v>Superficie netto</v>
      </c>
      <c r="C120" s="26" t="s">
        <v>746</v>
      </c>
      <c r="D120" s="26" t="s">
        <v>477</v>
      </c>
      <c r="E120" s="26" t="s">
        <v>747</v>
      </c>
      <c r="F120" s="26" t="s">
        <v>476</v>
      </c>
    </row>
    <row r="121" spans="1:6" x14ac:dyDescent="0.3">
      <c r="A121" s="26" t="s">
        <v>497</v>
      </c>
      <c r="B121" s="26" t="str">
        <f t="shared" si="3"/>
        <v>Risultato</v>
      </c>
      <c r="C121" s="26" t="s">
        <v>478</v>
      </c>
      <c r="D121" s="26" t="s">
        <v>479</v>
      </c>
      <c r="E121" s="26" t="s">
        <v>480</v>
      </c>
      <c r="F121" s="26" t="s">
        <v>481</v>
      </c>
    </row>
    <row r="122" spans="1:6" x14ac:dyDescent="0.3">
      <c r="A122" s="26" t="s">
        <v>498</v>
      </c>
      <c r="B122" s="26" t="str">
        <f t="shared" si="3"/>
        <v>Risultato</v>
      </c>
      <c r="C122" s="26" t="s">
        <v>478</v>
      </c>
      <c r="D122" s="26" t="s">
        <v>479</v>
      </c>
      <c r="E122" s="26" t="s">
        <v>480</v>
      </c>
      <c r="F122" s="26" t="s">
        <v>481</v>
      </c>
    </row>
    <row r="123" spans="1:6" x14ac:dyDescent="0.3">
      <c r="A123" s="26" t="s">
        <v>503</v>
      </c>
      <c r="B123" s="26" t="str">
        <f t="shared" si="3"/>
        <v>Qualità della vista (in tutte le locali)</v>
      </c>
      <c r="C123" s="26" t="s">
        <v>840</v>
      </c>
      <c r="D123" s="217" t="s">
        <v>967</v>
      </c>
      <c r="E123" s="26" t="s">
        <v>841</v>
      </c>
      <c r="F123" s="26" t="s">
        <v>842</v>
      </c>
    </row>
    <row r="124" spans="1:6" x14ac:dyDescent="0.3">
      <c r="A124" s="26" t="s">
        <v>504</v>
      </c>
      <c r="B124" s="26" t="str">
        <f t="shared" si="3"/>
        <v>Quota di superficie con un risultato insufficiente</v>
      </c>
      <c r="C124" s="259" t="s">
        <v>1102</v>
      </c>
      <c r="D124" s="259" t="s">
        <v>1103</v>
      </c>
      <c r="E124" s="259" t="s">
        <v>1104</v>
      </c>
      <c r="F124" s="259" t="s">
        <v>1105</v>
      </c>
    </row>
    <row r="125" spans="1:6" x14ac:dyDescent="0.3">
      <c r="A125" s="26" t="s">
        <v>505</v>
      </c>
      <c r="B125" s="26" t="str">
        <f t="shared" si="3"/>
        <v>Le esigenze del complemento ECO</v>
      </c>
      <c r="C125" s="217" t="s">
        <v>1003</v>
      </c>
      <c r="D125" s="217" t="s">
        <v>1004</v>
      </c>
      <c r="E125" s="217" t="s">
        <v>1005</v>
      </c>
      <c r="F125" s="217" t="s">
        <v>1006</v>
      </c>
    </row>
    <row r="127" spans="1:6" x14ac:dyDescent="0.3">
      <c r="A127" s="37" t="s">
        <v>1013</v>
      </c>
      <c r="B127" s="37"/>
      <c r="C127" s="37"/>
      <c r="D127" s="37"/>
      <c r="E127" s="37"/>
      <c r="F127" s="37"/>
    </row>
    <row r="128" spans="1:6" x14ac:dyDescent="0.3">
      <c r="A128" s="37" t="s">
        <v>162</v>
      </c>
      <c r="B128" s="37" t="s">
        <v>163</v>
      </c>
      <c r="C128" s="37" t="str">
        <f>C$4</f>
        <v>Deutsch</v>
      </c>
      <c r="D128" s="37" t="str">
        <f>D$4</f>
        <v>Francais</v>
      </c>
      <c r="E128" s="37" t="str">
        <f>E$4</f>
        <v>Italiano</v>
      </c>
      <c r="F128" s="37" t="str">
        <f>F$4</f>
        <v>English</v>
      </c>
    </row>
    <row r="129" spans="1:6" x14ac:dyDescent="0.3">
      <c r="A129" s="26" t="s">
        <v>165</v>
      </c>
      <c r="B129" s="26" t="str">
        <f t="shared" ref="B129:B147" si="4">INDEX($C129:$F129,1,MATCH(Sprachwahl,ListSprache,0))</f>
        <v>Questionario ammodernamento</v>
      </c>
      <c r="C129" s="217" t="s">
        <v>968</v>
      </c>
      <c r="D129" s="26" t="s">
        <v>969</v>
      </c>
      <c r="E129" s="26" t="s">
        <v>356</v>
      </c>
      <c r="F129" s="26" t="s">
        <v>970</v>
      </c>
    </row>
    <row r="130" spans="1:6" x14ac:dyDescent="0.3">
      <c r="A130" s="26" t="s">
        <v>164</v>
      </c>
      <c r="B130" s="26" t="str">
        <f t="shared" si="4"/>
        <v>Domande</v>
      </c>
      <c r="C130" s="26" t="s">
        <v>49</v>
      </c>
      <c r="D130" s="26" t="s">
        <v>240</v>
      </c>
      <c r="E130" s="26" t="s">
        <v>357</v>
      </c>
      <c r="F130" s="26" t="s">
        <v>370</v>
      </c>
    </row>
    <row r="131" spans="1:6" x14ac:dyDescent="0.3">
      <c r="A131" s="26" t="s">
        <v>200</v>
      </c>
      <c r="B131" s="26" t="str">
        <f t="shared" si="4"/>
        <v>Risposte</v>
      </c>
      <c r="C131" s="26" t="s">
        <v>50</v>
      </c>
      <c r="D131" s="26" t="s">
        <v>241</v>
      </c>
      <c r="E131" s="26" t="s">
        <v>358</v>
      </c>
      <c r="F131" s="26" t="s">
        <v>371</v>
      </c>
    </row>
    <row r="132" spans="1:6" x14ac:dyDescent="0.3">
      <c r="A132" s="26" t="s">
        <v>166</v>
      </c>
      <c r="B132" s="26" t="str">
        <f t="shared" si="4"/>
        <v>Le aperture delle finestre sono generalmente mantenute o aumentate?</v>
      </c>
      <c r="C132" s="26" t="s">
        <v>53</v>
      </c>
      <c r="D132" s="26" t="s">
        <v>971</v>
      </c>
      <c r="E132" s="26" t="s">
        <v>359</v>
      </c>
      <c r="F132" s="26" t="s">
        <v>372</v>
      </c>
    </row>
    <row r="133" spans="1:6" x14ac:dyDescent="0.3">
      <c r="A133" s="26" t="s">
        <v>201</v>
      </c>
      <c r="B133" s="26" t="str">
        <f t="shared" si="4"/>
        <v>Le superfici di vetro sono generalmente mantenute o aumentate?</v>
      </c>
      <c r="C133" s="26" t="s">
        <v>54</v>
      </c>
      <c r="D133" s="26" t="s">
        <v>972</v>
      </c>
      <c r="E133" s="26" t="s">
        <v>360</v>
      </c>
      <c r="F133" s="26" t="s">
        <v>373</v>
      </c>
    </row>
    <row r="134" spans="1:6" x14ac:dyDescent="0.3">
      <c r="A134" s="26" t="s">
        <v>202</v>
      </c>
      <c r="B134" s="26" t="str">
        <f t="shared" si="4"/>
        <v>Il vetro scelto posside un elevato fattore di trasmissione della luce diurna (Coeff. luminosità ≥ 70%)?</v>
      </c>
      <c r="C134" s="26" t="s">
        <v>912</v>
      </c>
      <c r="D134" s="217" t="s">
        <v>973</v>
      </c>
      <c r="E134" s="26" t="s">
        <v>913</v>
      </c>
      <c r="F134" s="26" t="s">
        <v>374</v>
      </c>
    </row>
    <row r="135" spans="1:6" x14ac:dyDescent="0.3">
      <c r="A135" s="26" t="s">
        <v>168</v>
      </c>
      <c r="B135" s="26" t="str">
        <f t="shared" si="4"/>
        <v>Non sono previsti nuovi elementi che ombreggiano la facciata (es. balconi, gronde, sporgenze…) ?</v>
      </c>
      <c r="C135" s="26" t="s">
        <v>57</v>
      </c>
      <c r="D135" s="26" t="s">
        <v>974</v>
      </c>
      <c r="E135" s="26" t="s">
        <v>781</v>
      </c>
      <c r="F135" s="26" t="s">
        <v>375</v>
      </c>
    </row>
    <row r="136" spans="1:6" x14ac:dyDescent="0.3">
      <c r="A136" s="26" t="s">
        <v>203</v>
      </c>
      <c r="B136" s="26" t="str">
        <f t="shared" si="4"/>
        <v>I locali sono dipinti con colori chiari?</v>
      </c>
      <c r="C136" s="26" t="s">
        <v>55</v>
      </c>
      <c r="D136" s="26" t="s">
        <v>975</v>
      </c>
      <c r="E136" s="26" t="s">
        <v>361</v>
      </c>
      <c r="F136" s="26" t="s">
        <v>376</v>
      </c>
    </row>
    <row r="137" spans="1:6" x14ac:dyDescent="0.3">
      <c r="A137" s="26" t="s">
        <v>169</v>
      </c>
      <c r="B137" s="26" t="str">
        <f t="shared" si="4"/>
        <v>Riassunto</v>
      </c>
      <c r="C137" s="26" t="s">
        <v>1</v>
      </c>
      <c r="D137" s="26" t="s">
        <v>242</v>
      </c>
      <c r="E137" s="26" t="s">
        <v>306</v>
      </c>
      <c r="F137" s="26" t="s">
        <v>377</v>
      </c>
    </row>
    <row r="138" spans="1:6" x14ac:dyDescent="0.3">
      <c r="A138" s="26" t="s">
        <v>204</v>
      </c>
      <c r="B138" s="26" t="str">
        <f t="shared" si="4"/>
        <v>QUESTO FOGLIO DEVE ESSERE COMPLETATO UNICAMENTE IN CASO DI AMMODERNAMENTO</v>
      </c>
      <c r="C138" s="26" t="s">
        <v>976</v>
      </c>
      <c r="D138" s="26" t="s">
        <v>243</v>
      </c>
      <c r="E138" s="26" t="s">
        <v>362</v>
      </c>
      <c r="F138" s="26" t="s">
        <v>378</v>
      </c>
    </row>
    <row r="139" spans="1:6" x14ac:dyDescent="0.3">
      <c r="A139" s="26" t="s">
        <v>204</v>
      </c>
      <c r="B139" s="26" t="str">
        <f t="shared" si="4"/>
        <v>Le esigenze del complemento ECO per ammodernamenti é automaticamente rispettato con un valore di rispetto pari al 50% (sufficiente), non è necessario effettuare calcoli piu dettagliati.</v>
      </c>
      <c r="C139" s="217" t="s">
        <v>1139</v>
      </c>
      <c r="D139" s="217" t="s">
        <v>1140</v>
      </c>
      <c r="E139" s="217" t="s">
        <v>1141</v>
      </c>
      <c r="F139" s="217" t="s">
        <v>1142</v>
      </c>
    </row>
    <row r="140" spans="1:6" x14ac:dyDescent="0.3">
      <c r="A140" s="26" t="s">
        <v>204</v>
      </c>
      <c r="B140" s="26" t="str">
        <f t="shared" si="4"/>
        <v>Il requisito Minergie-ECO per ammodernamenti non é rispettato,  è necessario effettuare calcoli piu dettagliati (compilare il foglio calcolo illuminazione naturale).</v>
      </c>
      <c r="C140" s="26" t="s">
        <v>977</v>
      </c>
      <c r="D140" s="26" t="s">
        <v>978</v>
      </c>
      <c r="E140" s="26" t="s">
        <v>979</v>
      </c>
      <c r="F140" s="26" t="s">
        <v>980</v>
      </c>
    </row>
    <row r="141" spans="1:6" x14ac:dyDescent="0.3">
      <c r="A141" s="26" t="s">
        <v>205</v>
      </c>
      <c r="B141" s="26" t="str">
        <f t="shared" si="4"/>
        <v>Categorie degli edifici (cliccare su tasto)</v>
      </c>
      <c r="C141" s="26" t="s">
        <v>748</v>
      </c>
      <c r="D141" s="26" t="s">
        <v>749</v>
      </c>
      <c r="E141" s="26" t="s">
        <v>751</v>
      </c>
      <c r="F141" s="26" t="s">
        <v>750</v>
      </c>
    </row>
    <row r="142" spans="1:6" x14ac:dyDescent="0.3">
      <c r="A142" s="26" t="s">
        <v>170</v>
      </c>
      <c r="B142" s="26" t="str">
        <f t="shared" si="4"/>
        <v>Abitativo</v>
      </c>
      <c r="C142" s="26" t="s">
        <v>31</v>
      </c>
      <c r="D142" s="26" t="s">
        <v>244</v>
      </c>
      <c r="E142" s="26" t="s">
        <v>363</v>
      </c>
      <c r="F142" s="26" t="s">
        <v>379</v>
      </c>
    </row>
    <row r="143" spans="1:6" x14ac:dyDescent="0.3">
      <c r="A143" s="26" t="s">
        <v>208</v>
      </c>
      <c r="B143" s="26" t="str">
        <f t="shared" si="4"/>
        <v>Amministrativo</v>
      </c>
      <c r="C143" s="26" t="s">
        <v>56</v>
      </c>
      <c r="D143" s="26" t="s">
        <v>245</v>
      </c>
      <c r="E143" s="26" t="s">
        <v>364</v>
      </c>
      <c r="F143" s="26" t="s">
        <v>380</v>
      </c>
    </row>
    <row r="144" spans="1:6" x14ac:dyDescent="0.3">
      <c r="A144" s="26" t="s">
        <v>209</v>
      </c>
      <c r="B144" s="26" t="str">
        <f t="shared" si="4"/>
        <v>Scuola</v>
      </c>
      <c r="C144" s="26" t="s">
        <v>15</v>
      </c>
      <c r="D144" s="26" t="s">
        <v>246</v>
      </c>
      <c r="E144" s="26" t="s">
        <v>365</v>
      </c>
      <c r="F144" s="26" t="s">
        <v>381</v>
      </c>
    </row>
    <row r="145" spans="1:6" x14ac:dyDescent="0.3">
      <c r="A145" s="26" t="s">
        <v>210</v>
      </c>
      <c r="B145" s="26" t="str">
        <f t="shared" si="4"/>
        <v>Edificio con una piccola percentuale vetrata</v>
      </c>
      <c r="C145" s="26" t="s">
        <v>58</v>
      </c>
      <c r="D145" s="26" t="s">
        <v>247</v>
      </c>
      <c r="E145" s="26" t="s">
        <v>366</v>
      </c>
      <c r="F145" s="26" t="s">
        <v>382</v>
      </c>
    </row>
    <row r="146" spans="1:6" x14ac:dyDescent="0.3">
      <c r="A146" s="26" t="s">
        <v>211</v>
      </c>
      <c r="B146" s="26" t="str">
        <f t="shared" si="4"/>
        <v>Edifico con una percentuale vetrata media</v>
      </c>
      <c r="C146" s="26" t="s">
        <v>59</v>
      </c>
      <c r="D146" s="217" t="s">
        <v>981</v>
      </c>
      <c r="E146" s="26" t="s">
        <v>367</v>
      </c>
      <c r="F146" s="26" t="s">
        <v>383</v>
      </c>
    </row>
    <row r="147" spans="1:6" x14ac:dyDescent="0.3">
      <c r="A147" s="26" t="s">
        <v>212</v>
      </c>
      <c r="B147" s="26" t="str">
        <f t="shared" si="4"/>
        <v>Edificio con una grande percentuale vetrata</v>
      </c>
      <c r="C147" s="26" t="s">
        <v>60</v>
      </c>
      <c r="D147" s="26" t="s">
        <v>248</v>
      </c>
      <c r="E147" s="26" t="s">
        <v>368</v>
      </c>
      <c r="F147" s="26" t="s">
        <v>384</v>
      </c>
    </row>
    <row r="149" spans="1:6" x14ac:dyDescent="0.3">
      <c r="A149" s="37" t="s">
        <v>198</v>
      </c>
      <c r="B149" s="37"/>
      <c r="C149" s="37"/>
      <c r="D149" s="37"/>
      <c r="E149" s="37"/>
      <c r="F149" s="37"/>
    </row>
    <row r="150" spans="1:6" x14ac:dyDescent="0.3">
      <c r="A150" s="37" t="s">
        <v>162</v>
      </c>
      <c r="B150" s="37" t="s">
        <v>163</v>
      </c>
      <c r="C150" s="37" t="str">
        <f>C$4</f>
        <v>Deutsch</v>
      </c>
      <c r="D150" s="37" t="str">
        <f>D$4</f>
        <v>Francais</v>
      </c>
      <c r="E150" s="37" t="str">
        <f>E$4</f>
        <v>Italiano</v>
      </c>
      <c r="F150" s="37" t="str">
        <f>F$4</f>
        <v>English</v>
      </c>
    </row>
    <row r="151" spans="1:6" x14ac:dyDescent="0.3">
      <c r="A151" s="26" t="s">
        <v>85</v>
      </c>
      <c r="B151" s="26" t="str">
        <f t="shared" ref="B151:B184" si="5">INDEX($C151:$F151,1,MATCH(Sprachwahl,ListSprache,0))</f>
        <v>Sala espositiva</v>
      </c>
      <c r="C151" s="28" t="s">
        <v>17</v>
      </c>
      <c r="D151" s="28" t="s">
        <v>264</v>
      </c>
      <c r="E151" s="229" t="s">
        <v>405</v>
      </c>
      <c r="F151" s="26" t="s">
        <v>426</v>
      </c>
    </row>
    <row r="152" spans="1:6" x14ac:dyDescent="0.3">
      <c r="B152" s="26" t="str">
        <f t="shared" si="5"/>
        <v>Locale medico</v>
      </c>
      <c r="C152" s="28" t="s">
        <v>408</v>
      </c>
      <c r="D152" s="28" t="s">
        <v>265</v>
      </c>
      <c r="E152" s="229" t="s">
        <v>631</v>
      </c>
      <c r="F152" s="26" t="s">
        <v>427</v>
      </c>
    </row>
    <row r="153" spans="1:6" x14ac:dyDescent="0.3">
      <c r="B153" s="26" t="str">
        <f t="shared" si="5"/>
        <v>Camere d'ospedale</v>
      </c>
      <c r="C153" s="28" t="s">
        <v>259</v>
      </c>
      <c r="D153" s="28" t="s">
        <v>258</v>
      </c>
      <c r="E153" s="229" t="s">
        <v>406</v>
      </c>
      <c r="F153" s="26" t="s">
        <v>571</v>
      </c>
    </row>
    <row r="154" spans="1:6" x14ac:dyDescent="0.3">
      <c r="B154" s="26" t="str">
        <f t="shared" si="5"/>
        <v>Biblioteca</v>
      </c>
      <c r="C154" s="28" t="s">
        <v>89</v>
      </c>
      <c r="D154" s="28" t="s">
        <v>262</v>
      </c>
      <c r="E154" s="229" t="s">
        <v>394</v>
      </c>
      <c r="F154" s="26" t="s">
        <v>428</v>
      </c>
    </row>
    <row r="155" spans="1:6" x14ac:dyDescent="0.3">
      <c r="B155" s="26" t="str">
        <f t="shared" si="5"/>
        <v>Singoli uffici  o uffici collettivi</v>
      </c>
      <c r="C155" s="28" t="s">
        <v>86</v>
      </c>
      <c r="D155" s="28" t="s">
        <v>261</v>
      </c>
      <c r="E155" s="229" t="s">
        <v>388</v>
      </c>
      <c r="F155" s="26" t="s">
        <v>380</v>
      </c>
    </row>
    <row r="156" spans="1:6" x14ac:dyDescent="0.3">
      <c r="B156" s="26" t="str">
        <f t="shared" si="5"/>
        <v>Commercio specializzato</v>
      </c>
      <c r="C156" s="28" t="s">
        <v>92</v>
      </c>
      <c r="D156" s="26" t="s">
        <v>276</v>
      </c>
      <c r="E156" s="26" t="s">
        <v>413</v>
      </c>
      <c r="F156" s="26" t="s">
        <v>572</v>
      </c>
    </row>
    <row r="157" spans="1:6" x14ac:dyDescent="0.3">
      <c r="B157" s="26" t="str">
        <f t="shared" si="5"/>
        <v>Sala Fitness</v>
      </c>
      <c r="C157" s="28" t="s">
        <v>13</v>
      </c>
      <c r="D157" s="28" t="s">
        <v>266</v>
      </c>
      <c r="E157" s="26" t="s">
        <v>412</v>
      </c>
      <c r="F157" s="26" t="s">
        <v>429</v>
      </c>
    </row>
    <row r="158" spans="1:6" x14ac:dyDescent="0.3">
      <c r="B158" s="26" t="str">
        <f t="shared" si="5"/>
        <v>Open space</v>
      </c>
      <c r="C158" s="28" t="s">
        <v>8</v>
      </c>
      <c r="D158" s="28" t="s">
        <v>267</v>
      </c>
      <c r="E158" s="229" t="s">
        <v>389</v>
      </c>
      <c r="F158" s="26" t="s">
        <v>430</v>
      </c>
    </row>
    <row r="159" spans="1:6" x14ac:dyDescent="0.3">
      <c r="B159" s="26" t="str">
        <f t="shared" si="5"/>
        <v>Auditorio</v>
      </c>
      <c r="C159" s="28" t="s">
        <v>0</v>
      </c>
      <c r="D159" s="28" t="s">
        <v>268</v>
      </c>
      <c r="E159" s="229" t="s">
        <v>395</v>
      </c>
      <c r="F159" s="26" t="s">
        <v>431</v>
      </c>
    </row>
    <row r="160" spans="1:6" x14ac:dyDescent="0.3">
      <c r="B160" s="26" t="str">
        <f t="shared" si="5"/>
        <v>Ricezione hotel/Lobby</v>
      </c>
      <c r="C160" s="27" t="s">
        <v>14</v>
      </c>
      <c r="D160" s="27" t="s">
        <v>260</v>
      </c>
      <c r="E160" s="230" t="s">
        <v>386</v>
      </c>
      <c r="F160" s="26" t="s">
        <v>432</v>
      </c>
    </row>
    <row r="161" spans="2:6" x14ac:dyDescent="0.3">
      <c r="B161" s="26" t="str">
        <f t="shared" si="5"/>
        <v>Camera d'hotel</v>
      </c>
      <c r="C161" s="27" t="s">
        <v>30</v>
      </c>
      <c r="D161" s="27" t="s">
        <v>254</v>
      </c>
      <c r="E161" s="230" t="s">
        <v>387</v>
      </c>
      <c r="F161" s="26" t="s">
        <v>433</v>
      </c>
    </row>
    <row r="162" spans="2:6" x14ac:dyDescent="0.3">
      <c r="B162" s="26" t="str">
        <f t="shared" si="5"/>
        <v>Cucina ristorante self-service</v>
      </c>
      <c r="C162" s="28" t="s">
        <v>28</v>
      </c>
      <c r="D162" s="28" t="s">
        <v>255</v>
      </c>
      <c r="E162" s="229" t="s">
        <v>402</v>
      </c>
      <c r="F162" s="26" t="s">
        <v>434</v>
      </c>
    </row>
    <row r="163" spans="2:6" x14ac:dyDescent="0.3">
      <c r="B163" s="26" t="str">
        <f t="shared" si="5"/>
        <v>Cucina ristorante</v>
      </c>
      <c r="C163" s="28" t="s">
        <v>27</v>
      </c>
      <c r="D163" s="28" t="s">
        <v>256</v>
      </c>
      <c r="E163" s="229" t="s">
        <v>401</v>
      </c>
      <c r="F163" s="26" t="s">
        <v>435</v>
      </c>
    </row>
    <row r="164" spans="2:6" x14ac:dyDescent="0.3">
      <c r="B164" s="26" t="str">
        <f t="shared" si="5"/>
        <v>Cucina</v>
      </c>
      <c r="C164" s="26" t="s">
        <v>95</v>
      </c>
      <c r="D164" s="26" t="s">
        <v>280</v>
      </c>
      <c r="E164" s="26" t="s">
        <v>414</v>
      </c>
      <c r="F164" s="26" t="s">
        <v>436</v>
      </c>
    </row>
    <row r="165" spans="2:6" x14ac:dyDescent="0.3">
      <c r="B165" s="26" t="str">
        <f t="shared" si="5"/>
        <v>Laboratorio</v>
      </c>
      <c r="C165" s="26" t="s">
        <v>94</v>
      </c>
      <c r="D165" s="26" t="s">
        <v>279</v>
      </c>
      <c r="E165" s="26" t="s">
        <v>411</v>
      </c>
      <c r="F165" s="26" t="s">
        <v>437</v>
      </c>
    </row>
    <row r="166" spans="2:6" x14ac:dyDescent="0.3">
      <c r="B166" s="26" t="str">
        <f t="shared" si="5"/>
        <v>Commercio alimentari</v>
      </c>
      <c r="C166" s="28" t="s">
        <v>91</v>
      </c>
      <c r="D166" s="26" t="s">
        <v>275</v>
      </c>
      <c r="E166" s="26" t="s">
        <v>397</v>
      </c>
      <c r="F166" s="26" t="s">
        <v>438</v>
      </c>
    </row>
    <row r="167" spans="2:6" x14ac:dyDescent="0.3">
      <c r="B167" s="26" t="str">
        <f t="shared" si="5"/>
        <v>Aula docenti</v>
      </c>
      <c r="C167" s="28" t="s">
        <v>88</v>
      </c>
      <c r="D167" s="28" t="s">
        <v>1011</v>
      </c>
      <c r="E167" s="229" t="s">
        <v>392</v>
      </c>
      <c r="F167" s="26" t="s">
        <v>439</v>
      </c>
    </row>
    <row r="168" spans="2:6" x14ac:dyDescent="0.3">
      <c r="B168" s="26" t="str">
        <f t="shared" si="5"/>
        <v>Sala multiuso</v>
      </c>
      <c r="C168" s="28" t="s">
        <v>16</v>
      </c>
      <c r="D168" s="26" t="s">
        <v>277</v>
      </c>
      <c r="E168" s="229" t="s">
        <v>404</v>
      </c>
      <c r="F168" s="26" t="s">
        <v>573</v>
      </c>
    </row>
    <row r="169" spans="2:6" x14ac:dyDescent="0.3">
      <c r="B169" s="26" t="str">
        <f t="shared" si="5"/>
        <v>Produzione (di precisione)</v>
      </c>
      <c r="C169" s="28" t="s">
        <v>20</v>
      </c>
      <c r="D169" s="28" t="s">
        <v>269</v>
      </c>
      <c r="E169" s="229" t="s">
        <v>410</v>
      </c>
      <c r="F169" s="26" t="s">
        <v>440</v>
      </c>
    </row>
    <row r="170" spans="2:6" x14ac:dyDescent="0.3">
      <c r="B170" s="26" t="str">
        <f t="shared" si="5"/>
        <v>Produzione (lavori pesanti)</v>
      </c>
      <c r="C170" s="28" t="s">
        <v>19</v>
      </c>
      <c r="D170" s="28" t="s">
        <v>270</v>
      </c>
      <c r="E170" s="229" t="s">
        <v>409</v>
      </c>
      <c r="F170" s="26" t="s">
        <v>441</v>
      </c>
    </row>
    <row r="171" spans="2:6" x14ac:dyDescent="0.3">
      <c r="B171" s="26" t="str">
        <f t="shared" si="5"/>
        <v>Ristorante</v>
      </c>
      <c r="C171" s="28" t="s">
        <v>11</v>
      </c>
      <c r="D171" s="28" t="s">
        <v>11</v>
      </c>
      <c r="E171" s="26" t="s">
        <v>399</v>
      </c>
      <c r="F171" s="26" t="s">
        <v>11</v>
      </c>
    </row>
    <row r="172" spans="2:6" x14ac:dyDescent="0.3">
      <c r="B172" s="26" t="str">
        <f t="shared" si="5"/>
        <v>Sportello/Accettazione</v>
      </c>
      <c r="C172" s="28" t="s">
        <v>87</v>
      </c>
      <c r="D172" s="28" t="s">
        <v>271</v>
      </c>
      <c r="E172" s="229" t="s">
        <v>391</v>
      </c>
      <c r="F172" s="26" t="s">
        <v>574</v>
      </c>
    </row>
    <row r="173" spans="2:6" x14ac:dyDescent="0.3">
      <c r="B173" s="26" t="str">
        <f t="shared" si="5"/>
        <v>Aule speciali</v>
      </c>
      <c r="C173" s="28" t="s">
        <v>90</v>
      </c>
      <c r="D173" s="28" t="s">
        <v>272</v>
      </c>
      <c r="E173" s="229" t="s">
        <v>396</v>
      </c>
      <c r="F173" s="26" t="s">
        <v>575</v>
      </c>
    </row>
    <row r="174" spans="2:6" x14ac:dyDescent="0.3">
      <c r="B174" s="26" t="str">
        <f t="shared" si="5"/>
        <v>Aule</v>
      </c>
      <c r="C174" s="28" t="s">
        <v>10</v>
      </c>
      <c r="D174" s="28" t="s">
        <v>263</v>
      </c>
      <c r="E174" s="229" t="s">
        <v>393</v>
      </c>
      <c r="F174" s="26" t="s">
        <v>442</v>
      </c>
    </row>
    <row r="175" spans="2:6" x14ac:dyDescent="0.3">
      <c r="B175" s="26" t="str">
        <f t="shared" si="5"/>
        <v>Piscina (fuori terra)</v>
      </c>
      <c r="C175" s="229" t="s">
        <v>923</v>
      </c>
      <c r="D175" s="229" t="s">
        <v>924</v>
      </c>
      <c r="E175" s="26" t="s">
        <v>925</v>
      </c>
      <c r="F175" s="26" t="s">
        <v>926</v>
      </c>
    </row>
    <row r="176" spans="2:6" x14ac:dyDescent="0.3">
      <c r="B176" s="26" t="str">
        <f t="shared" si="5"/>
        <v>Piscina (sotto terreno)</v>
      </c>
      <c r="C176" s="229" t="s">
        <v>927</v>
      </c>
      <c r="D176" s="229" t="s">
        <v>928</v>
      </c>
      <c r="E176" s="26" t="s">
        <v>929</v>
      </c>
      <c r="F176" s="26" t="s">
        <v>930</v>
      </c>
    </row>
    <row r="177" spans="1:6" x14ac:dyDescent="0.3">
      <c r="B177" s="26" t="str">
        <f t="shared" si="5"/>
        <v>Ristorante self-service</v>
      </c>
      <c r="C177" s="28" t="s">
        <v>12</v>
      </c>
      <c r="D177" s="28" t="s">
        <v>257</v>
      </c>
      <c r="E177" s="229" t="s">
        <v>400</v>
      </c>
      <c r="F177" s="26" t="s">
        <v>443</v>
      </c>
    </row>
    <row r="178" spans="1:6" x14ac:dyDescent="0.3">
      <c r="B178" s="26" t="str">
        <f t="shared" si="5"/>
        <v>Sala riunioni</v>
      </c>
      <c r="C178" s="28" t="s">
        <v>9</v>
      </c>
      <c r="D178" s="28" t="s">
        <v>273</v>
      </c>
      <c r="E178" s="229" t="s">
        <v>390</v>
      </c>
      <c r="F178" s="26" t="s">
        <v>444</v>
      </c>
    </row>
    <row r="179" spans="1:6" x14ac:dyDescent="0.3">
      <c r="B179" s="26" t="str">
        <f t="shared" si="5"/>
        <v>Sala infermieri</v>
      </c>
      <c r="C179" s="28" t="s">
        <v>18</v>
      </c>
      <c r="D179" s="28" t="s">
        <v>274</v>
      </c>
      <c r="E179" s="229" t="s">
        <v>407</v>
      </c>
      <c r="F179" s="26" t="s">
        <v>576</v>
      </c>
    </row>
    <row r="180" spans="1:6" x14ac:dyDescent="0.3">
      <c r="B180" s="26" t="str">
        <f t="shared" si="5"/>
        <v>Palestra (fuori terra)</v>
      </c>
      <c r="C180" s="28" t="s">
        <v>915</v>
      </c>
      <c r="D180" s="229" t="s">
        <v>917</v>
      </c>
      <c r="E180" s="26" t="s">
        <v>918</v>
      </c>
      <c r="F180" s="26" t="s">
        <v>919</v>
      </c>
    </row>
    <row r="181" spans="1:6" x14ac:dyDescent="0.3">
      <c r="B181" s="26" t="str">
        <f t="shared" si="5"/>
        <v>Palestra (sotto terreno)</v>
      </c>
      <c r="C181" s="28" t="s">
        <v>916</v>
      </c>
      <c r="D181" s="229" t="s">
        <v>920</v>
      </c>
      <c r="E181" s="26" t="s">
        <v>921</v>
      </c>
      <c r="F181" s="26" t="s">
        <v>922</v>
      </c>
    </row>
    <row r="182" spans="1:6" x14ac:dyDescent="0.3">
      <c r="B182" s="26" t="str">
        <f t="shared" si="5"/>
        <v>Commercio mobili, fai da te e giardino</v>
      </c>
      <c r="C182" s="28" t="s">
        <v>93</v>
      </c>
      <c r="D182" s="26" t="s">
        <v>278</v>
      </c>
      <c r="E182" s="229" t="s">
        <v>398</v>
      </c>
      <c r="F182" s="26" t="s">
        <v>577</v>
      </c>
    </row>
    <row r="183" spans="1:6" x14ac:dyDescent="0.3">
      <c r="B183" s="26" t="str">
        <f t="shared" si="5"/>
        <v>Sala per spettacoli</v>
      </c>
      <c r="C183" s="28" t="s">
        <v>29</v>
      </c>
      <c r="D183" s="26" t="s">
        <v>281</v>
      </c>
      <c r="E183" s="229" t="s">
        <v>403</v>
      </c>
      <c r="F183" s="26" t="s">
        <v>578</v>
      </c>
    </row>
    <row r="184" spans="1:6" x14ac:dyDescent="0.3">
      <c r="B184" s="26" t="str">
        <f t="shared" si="5"/>
        <v>Soggiorno, camera</v>
      </c>
      <c r="C184" s="27" t="s">
        <v>99</v>
      </c>
      <c r="D184" s="27" t="s">
        <v>253</v>
      </c>
      <c r="E184" s="26" t="s">
        <v>385</v>
      </c>
      <c r="F184" s="26" t="s">
        <v>579</v>
      </c>
    </row>
    <row r="186" spans="1:6" x14ac:dyDescent="0.3">
      <c r="A186" s="26" t="s">
        <v>113</v>
      </c>
      <c r="B186" s="26" t="str">
        <f>INDEX($C186:$F186,1,MATCH(Sprachwahl,ListSprache,0))</f>
        <v>chiaro</v>
      </c>
      <c r="C186" s="26" t="s">
        <v>114</v>
      </c>
      <c r="D186" s="26" t="s">
        <v>282</v>
      </c>
      <c r="E186" s="26" t="s">
        <v>415</v>
      </c>
      <c r="F186" s="26" t="s">
        <v>445</v>
      </c>
    </row>
    <row r="187" spans="1:6" x14ac:dyDescent="0.3">
      <c r="B187" s="26" t="str">
        <f>INDEX($C187:$F187,1,MATCH(Sprachwahl,ListSprache,0))</f>
        <v>normale</v>
      </c>
      <c r="C187" s="26" t="s">
        <v>116</v>
      </c>
      <c r="D187" s="26" t="s">
        <v>21</v>
      </c>
      <c r="E187" s="26" t="s">
        <v>416</v>
      </c>
      <c r="F187" s="26" t="s">
        <v>21</v>
      </c>
    </row>
    <row r="188" spans="1:6" x14ac:dyDescent="0.3">
      <c r="B188" s="26" t="str">
        <f>INDEX($C188:$F188,1,MATCH(Sprachwahl,ListSprache,0))</f>
        <v>scuro</v>
      </c>
      <c r="C188" s="26" t="s">
        <v>115</v>
      </c>
      <c r="D188" s="26" t="s">
        <v>283</v>
      </c>
      <c r="E188" s="26" t="s">
        <v>417</v>
      </c>
      <c r="F188" s="26" t="s">
        <v>446</v>
      </c>
    </row>
    <row r="190" spans="1:6" x14ac:dyDescent="0.3">
      <c r="A190" s="26" t="s">
        <v>70</v>
      </c>
      <c r="B190" s="26" t="str">
        <f t="shared" ref="B190:B204" si="6">INDEX($C190:$F190,1,MATCH(Sprachwahl,ListSprache,0))</f>
        <v>Lamelle chiare con sistema di riflessione</v>
      </c>
      <c r="C190" s="26" t="s">
        <v>100</v>
      </c>
      <c r="D190" s="217" t="s">
        <v>982</v>
      </c>
      <c r="E190" s="26" t="s">
        <v>466</v>
      </c>
      <c r="F190" s="26" t="s">
        <v>461</v>
      </c>
    </row>
    <row r="191" spans="1:6" x14ac:dyDescent="0.3">
      <c r="B191" s="26" t="str">
        <f t="shared" si="6"/>
        <v>Lamelle chiare senza sistema di riflessione</v>
      </c>
      <c r="C191" s="26" t="s">
        <v>101</v>
      </c>
      <c r="D191" s="26" t="s">
        <v>285</v>
      </c>
      <c r="E191" s="26" t="s">
        <v>467</v>
      </c>
      <c r="F191" s="26" t="s">
        <v>462</v>
      </c>
    </row>
    <row r="192" spans="1:6" x14ac:dyDescent="0.3">
      <c r="B192" s="26" t="str">
        <f t="shared" si="6"/>
        <v>Lamelle media chiare o tenda traslucida</v>
      </c>
      <c r="C192" s="26" t="s">
        <v>102</v>
      </c>
      <c r="D192" s="26" t="s">
        <v>286</v>
      </c>
      <c r="E192" s="26" t="s">
        <v>632</v>
      </c>
      <c r="F192" s="26" t="s">
        <v>463</v>
      </c>
    </row>
    <row r="193" spans="1:6" x14ac:dyDescent="0.3">
      <c r="B193" s="26" t="str">
        <f t="shared" si="6"/>
        <v>Lamelle scure o tenda poco traslucida</v>
      </c>
      <c r="C193" s="26" t="s">
        <v>146</v>
      </c>
      <c r="D193" s="26" t="s">
        <v>287</v>
      </c>
      <c r="E193" s="26" t="s">
        <v>633</v>
      </c>
      <c r="F193" s="26" t="s">
        <v>464</v>
      </c>
    </row>
    <row r="194" spans="1:6" x14ac:dyDescent="0.3">
      <c r="B194" s="26" t="str">
        <f t="shared" si="6"/>
        <v>tenda non traslucida</v>
      </c>
      <c r="C194" s="26" t="s">
        <v>103</v>
      </c>
      <c r="D194" s="26" t="s">
        <v>288</v>
      </c>
      <c r="E194" s="26" t="s">
        <v>634</v>
      </c>
      <c r="F194" s="26" t="s">
        <v>465</v>
      </c>
    </row>
    <row r="195" spans="1:6" ht="21.75" customHeight="1" x14ac:dyDescent="0.3">
      <c r="B195" s="213" t="str">
        <f t="shared" si="6"/>
        <v>Nessuna protezione solare</v>
      </c>
      <c r="C195" s="213" t="s">
        <v>906</v>
      </c>
      <c r="D195" s="213" t="s">
        <v>907</v>
      </c>
      <c r="E195" s="213" t="s">
        <v>908</v>
      </c>
      <c r="F195" s="213" t="s">
        <v>909</v>
      </c>
    </row>
    <row r="196" spans="1:6" x14ac:dyDescent="0.3">
      <c r="A196" s="26" t="s">
        <v>104</v>
      </c>
      <c r="B196" s="26" t="str">
        <f t="shared" si="6"/>
        <v>Motorizzato, automatico con guida per le lamelle</v>
      </c>
      <c r="C196" s="26" t="s">
        <v>105</v>
      </c>
      <c r="D196" s="26" t="s">
        <v>289</v>
      </c>
      <c r="E196" s="26" t="s">
        <v>635</v>
      </c>
      <c r="F196" s="26" t="s">
        <v>457</v>
      </c>
    </row>
    <row r="197" spans="1:6" x14ac:dyDescent="0.3">
      <c r="B197" s="26" t="str">
        <f t="shared" si="6"/>
        <v>Motorizzato, automatico, tenendo conto degli ombrggiamenti</v>
      </c>
      <c r="C197" s="26" t="s">
        <v>108</v>
      </c>
      <c r="D197" s="26" t="s">
        <v>290</v>
      </c>
      <c r="E197" s="26" t="s">
        <v>636</v>
      </c>
      <c r="F197" s="26" t="s">
        <v>456</v>
      </c>
    </row>
    <row r="198" spans="1:6" x14ac:dyDescent="0.3">
      <c r="B198" s="26" t="str">
        <f t="shared" si="6"/>
        <v>Motorizzato, automatico</v>
      </c>
      <c r="C198" s="26" t="s">
        <v>106</v>
      </c>
      <c r="D198" s="26" t="s">
        <v>291</v>
      </c>
      <c r="E198" s="26" t="s">
        <v>468</v>
      </c>
      <c r="F198" s="26" t="s">
        <v>455</v>
      </c>
    </row>
    <row r="199" spans="1:6" x14ac:dyDescent="0.3">
      <c r="B199" s="26" t="str">
        <f t="shared" si="6"/>
        <v>Motorizzato,  manuale</v>
      </c>
      <c r="C199" s="26" t="s">
        <v>109</v>
      </c>
      <c r="D199" s="26" t="s">
        <v>292</v>
      </c>
      <c r="E199" s="26" t="s">
        <v>637</v>
      </c>
      <c r="F199" s="26" t="s">
        <v>454</v>
      </c>
    </row>
    <row r="200" spans="1:6" x14ac:dyDescent="0.3">
      <c r="B200" s="26" t="str">
        <f t="shared" si="6"/>
        <v>Manuale</v>
      </c>
      <c r="C200" s="26" t="s">
        <v>107</v>
      </c>
      <c r="D200" s="26" t="s">
        <v>293</v>
      </c>
      <c r="E200" s="26" t="s">
        <v>425</v>
      </c>
      <c r="F200" s="26" t="s">
        <v>447</v>
      </c>
    </row>
    <row r="201" spans="1:6" ht="26.25" customHeight="1" x14ac:dyDescent="0.3">
      <c r="B201" s="213" t="str">
        <f t="shared" si="6"/>
        <v>Nessuna protezione solare</v>
      </c>
      <c r="C201" s="213" t="s">
        <v>906</v>
      </c>
      <c r="D201" s="213" t="s">
        <v>907</v>
      </c>
      <c r="E201" s="213" t="s">
        <v>908</v>
      </c>
      <c r="F201" s="213" t="s">
        <v>909</v>
      </c>
    </row>
    <row r="202" spans="1:6" x14ac:dyDescent="0.3">
      <c r="A202" s="26" t="s">
        <v>80</v>
      </c>
      <c r="B202" s="26" t="str">
        <f t="shared" si="6"/>
        <v>Terreno aperto, o poco ombraggiamento</v>
      </c>
      <c r="C202" s="26" t="s">
        <v>81</v>
      </c>
      <c r="D202" s="217" t="s">
        <v>983</v>
      </c>
      <c r="E202" s="26" t="s">
        <v>638</v>
      </c>
      <c r="F202" s="26" t="s">
        <v>460</v>
      </c>
    </row>
    <row r="203" spans="1:6" x14ac:dyDescent="0.3">
      <c r="B203" s="26" t="str">
        <f t="shared" si="6"/>
        <v>Ombraggiamento medio, angolo d'ombraggiamento tra i 15° e i 35°</v>
      </c>
      <c r="C203" s="26" t="s">
        <v>82</v>
      </c>
      <c r="D203" s="217" t="s">
        <v>984</v>
      </c>
      <c r="E203" s="26" t="s">
        <v>639</v>
      </c>
      <c r="F203" s="26" t="s">
        <v>459</v>
      </c>
    </row>
    <row r="204" spans="1:6" x14ac:dyDescent="0.3">
      <c r="B204" s="26" t="str">
        <f t="shared" si="6"/>
        <v>Situato in città, ombraggiamento importante</v>
      </c>
      <c r="C204" s="26" t="s">
        <v>83</v>
      </c>
      <c r="D204" s="217" t="s">
        <v>985</v>
      </c>
      <c r="E204" s="26" t="s">
        <v>469</v>
      </c>
      <c r="F204" s="26" t="s">
        <v>458</v>
      </c>
    </row>
    <row r="206" spans="1:6" x14ac:dyDescent="0.3">
      <c r="A206" s="26" t="s">
        <v>792</v>
      </c>
      <c r="B206" s="26" t="str">
        <f t="shared" ref="B206:B212" si="7">INDEX($C206:$F206,1,MATCH(Sprachwahl,ListSprache,0))</f>
        <v>Solo paesaggio</v>
      </c>
      <c r="C206" s="26" t="s">
        <v>796</v>
      </c>
      <c r="D206" s="26" t="s">
        <v>811</v>
      </c>
      <c r="E206" s="26" t="s">
        <v>812</v>
      </c>
      <c r="F206" s="26" t="s">
        <v>806</v>
      </c>
    </row>
    <row r="207" spans="1:6" x14ac:dyDescent="0.3">
      <c r="B207" s="26" t="str">
        <f t="shared" si="7"/>
        <v>Paesaggio e terra</v>
      </c>
      <c r="C207" s="26" t="s">
        <v>793</v>
      </c>
      <c r="D207" s="26" t="s">
        <v>819</v>
      </c>
      <c r="E207" s="26" t="s">
        <v>815</v>
      </c>
      <c r="F207" s="26" t="s">
        <v>823</v>
      </c>
    </row>
    <row r="208" spans="1:6" x14ac:dyDescent="0.3">
      <c r="B208" s="26" t="str">
        <f t="shared" si="7"/>
        <v>Paesaggio e cielo</v>
      </c>
      <c r="C208" s="26" t="s">
        <v>794</v>
      </c>
      <c r="D208" s="26" t="s">
        <v>809</v>
      </c>
      <c r="E208" s="26" t="s">
        <v>813</v>
      </c>
      <c r="F208" s="26" t="s">
        <v>807</v>
      </c>
    </row>
    <row r="209" spans="1:6" x14ac:dyDescent="0.3">
      <c r="B209" s="26" t="str">
        <f t="shared" si="7"/>
        <v>Paesaggio, terra e cielo</v>
      </c>
      <c r="C209" s="26" t="s">
        <v>795</v>
      </c>
      <c r="D209" s="26" t="s">
        <v>820</v>
      </c>
      <c r="E209" s="26" t="s">
        <v>816</v>
      </c>
      <c r="F209" s="26" t="s">
        <v>824</v>
      </c>
    </row>
    <row r="210" spans="1:6" x14ac:dyDescent="0.3">
      <c r="B210" s="26" t="str">
        <f t="shared" si="7"/>
        <v>Solo terra</v>
      </c>
      <c r="C210" s="26" t="s">
        <v>797</v>
      </c>
      <c r="D210" s="26" t="s">
        <v>821</v>
      </c>
      <c r="E210" s="26" t="s">
        <v>817</v>
      </c>
      <c r="F210" s="26" t="s">
        <v>825</v>
      </c>
    </row>
    <row r="211" spans="1:6" x14ac:dyDescent="0.3">
      <c r="B211" s="26" t="str">
        <f t="shared" si="7"/>
        <v>Solo cielo</v>
      </c>
      <c r="C211" s="26" t="s">
        <v>798</v>
      </c>
      <c r="D211" s="26" t="s">
        <v>810</v>
      </c>
      <c r="E211" s="26" t="s">
        <v>814</v>
      </c>
      <c r="F211" s="26" t="s">
        <v>808</v>
      </c>
    </row>
    <row r="212" spans="1:6" x14ac:dyDescent="0.3">
      <c r="B212" s="26" t="str">
        <f t="shared" si="7"/>
        <v>terra e cielo</v>
      </c>
      <c r="C212" s="26" t="s">
        <v>799</v>
      </c>
      <c r="D212" s="26" t="s">
        <v>822</v>
      </c>
      <c r="E212" s="26" t="s">
        <v>818</v>
      </c>
      <c r="F212" s="26" t="s">
        <v>826</v>
      </c>
    </row>
    <row r="214" spans="1:6" x14ac:dyDescent="0.3">
      <c r="A214" s="26" t="s">
        <v>849</v>
      </c>
      <c r="B214" s="26" t="str">
        <f>INDEX($C214:$F214,1,MATCH(Sprachwahl,ListSprache,0))</f>
        <v>alto</v>
      </c>
      <c r="C214" s="217" t="s">
        <v>1019</v>
      </c>
      <c r="D214" s="217" t="s">
        <v>1022</v>
      </c>
      <c r="E214" s="217" t="s">
        <v>1025</v>
      </c>
      <c r="F214" s="217" t="s">
        <v>1030</v>
      </c>
    </row>
    <row r="215" spans="1:6" x14ac:dyDescent="0.3">
      <c r="B215" s="26" t="str">
        <f>INDEX($C215:$F215,1,MATCH(Sprachwahl,ListSprache,0))</f>
        <v>media</v>
      </c>
      <c r="C215" s="217" t="s">
        <v>1020</v>
      </c>
      <c r="D215" s="217" t="s">
        <v>1023</v>
      </c>
      <c r="E215" s="217" t="s">
        <v>1026</v>
      </c>
      <c r="F215" s="217" t="s">
        <v>1031</v>
      </c>
    </row>
    <row r="216" spans="1:6" x14ac:dyDescent="0.3">
      <c r="B216" s="26" t="str">
        <f>INDEX($C216:$F216,1,MATCH(Sprachwahl,ListSprache,0))</f>
        <v>minimo</v>
      </c>
      <c r="C216" s="217" t="s">
        <v>1099</v>
      </c>
      <c r="D216" s="217" t="s">
        <v>1100</v>
      </c>
      <c r="E216" s="217" t="s">
        <v>1027</v>
      </c>
      <c r="F216" s="217" t="s">
        <v>1099</v>
      </c>
    </row>
    <row r="217" spans="1:6" x14ac:dyDescent="0.3">
      <c r="B217" s="26" t="str">
        <f>INDEX($C217:$F217,1,MATCH(Sprachwahl,ListSprache,0))</f>
        <v>insufficiente</v>
      </c>
      <c r="C217" s="217" t="s">
        <v>1021</v>
      </c>
      <c r="D217" s="217" t="s">
        <v>1024</v>
      </c>
      <c r="E217" s="217" t="s">
        <v>1028</v>
      </c>
      <c r="F217" s="217" t="s">
        <v>1029</v>
      </c>
    </row>
    <row r="219" spans="1:6" x14ac:dyDescent="0.3">
      <c r="A219" s="26" t="s">
        <v>199</v>
      </c>
      <c r="B219" s="26" t="str">
        <f>INDEX($C219:$F219,1,MATCH(Sprachwahl,ListSprache,0))</f>
        <v>sono ampiamente soddisfatte</v>
      </c>
      <c r="C219" s="26" t="s">
        <v>157</v>
      </c>
      <c r="D219" s="26" t="s">
        <v>224</v>
      </c>
      <c r="E219" s="26" t="s">
        <v>419</v>
      </c>
      <c r="F219" s="26" t="s">
        <v>782</v>
      </c>
    </row>
    <row r="220" spans="1:6" x14ac:dyDescent="0.3">
      <c r="B220" s="26" t="str">
        <f>INDEX($C220:$F220,1,MATCH(Sprachwahl,ListSprache,0))</f>
        <v>sono soddisfatte</v>
      </c>
      <c r="C220" s="26" t="s">
        <v>158</v>
      </c>
      <c r="D220" s="26" t="s">
        <v>222</v>
      </c>
      <c r="E220" s="26" t="s">
        <v>420</v>
      </c>
      <c r="F220" s="26" t="s">
        <v>783</v>
      </c>
    </row>
    <row r="221" spans="1:6" x14ac:dyDescent="0.3">
      <c r="B221" s="26" t="str">
        <f>INDEX($C221:$F221,1,MATCH(Sprachwahl,ListSprache,0))</f>
        <v>non sono soddisfatte</v>
      </c>
      <c r="C221" s="26" t="s">
        <v>159</v>
      </c>
      <c r="D221" s="26" t="s">
        <v>223</v>
      </c>
      <c r="E221" s="26" t="s">
        <v>418</v>
      </c>
      <c r="F221" s="26" t="s">
        <v>784</v>
      </c>
    </row>
    <row r="223" spans="1:6" x14ac:dyDescent="0.3">
      <c r="A223" s="26" t="s">
        <v>1033</v>
      </c>
      <c r="B223" s="26" t="str">
        <f>INDEX($C223:$F223,1,MATCH(Sprachwahl,ListSprache,0))</f>
        <v>Nuova Costruzione</v>
      </c>
      <c r="C223" s="26" t="s">
        <v>22</v>
      </c>
      <c r="D223" s="217" t="s">
        <v>1008</v>
      </c>
      <c r="E223" s="26" t="s">
        <v>421</v>
      </c>
      <c r="F223" s="26" t="s">
        <v>41</v>
      </c>
    </row>
    <row r="224" spans="1:6" x14ac:dyDescent="0.3">
      <c r="B224" s="26" t="str">
        <f>INDEX($C224:$F224,1,MATCH(Sprachwahl,ListSprache,0))</f>
        <v>Ammodernamento</v>
      </c>
      <c r="C224" s="217" t="s">
        <v>1002</v>
      </c>
      <c r="D224" s="26" t="s">
        <v>284</v>
      </c>
      <c r="E224" s="26" t="s">
        <v>422</v>
      </c>
      <c r="F224" s="26" t="s">
        <v>42</v>
      </c>
    </row>
    <row r="225" spans="1:6" x14ac:dyDescent="0.3">
      <c r="C225" s="217"/>
    </row>
    <row r="226" spans="1:6" x14ac:dyDescent="0.3">
      <c r="A226" s="26" t="s">
        <v>1037</v>
      </c>
      <c r="B226" s="26" t="str">
        <f t="shared" ref="B226:B238" si="8">INDEX($C226:$F226,1,MATCH(Sprachwahl,ListSprache,0))</f>
        <v>Abitazioni plurifamiliari</v>
      </c>
      <c r="C226" s="259" t="s">
        <v>1044</v>
      </c>
      <c r="D226" s="259" t="s">
        <v>1050</v>
      </c>
      <c r="E226" s="259" t="s">
        <v>1064</v>
      </c>
      <c r="F226" s="259" t="s">
        <v>1075</v>
      </c>
    </row>
    <row r="227" spans="1:6" x14ac:dyDescent="0.3">
      <c r="B227" s="26" t="str">
        <f t="shared" si="8"/>
        <v>Abitazioni monofamiliari</v>
      </c>
      <c r="C227" s="259" t="s">
        <v>1045</v>
      </c>
      <c r="D227" s="259" t="s">
        <v>1051</v>
      </c>
      <c r="E227" s="259" t="s">
        <v>1065</v>
      </c>
      <c r="F227" s="259" t="s">
        <v>1076</v>
      </c>
    </row>
    <row r="228" spans="1:6" x14ac:dyDescent="0.3">
      <c r="B228" s="26" t="str">
        <f t="shared" si="8"/>
        <v>Amministrazione</v>
      </c>
      <c r="C228" s="259" t="s">
        <v>56</v>
      </c>
      <c r="D228" s="259" t="s">
        <v>245</v>
      </c>
      <c r="E228" s="259" t="s">
        <v>1066</v>
      </c>
      <c r="F228" s="259" t="s">
        <v>245</v>
      </c>
    </row>
    <row r="229" spans="1:6" x14ac:dyDescent="0.3">
      <c r="B229" s="26" t="str">
        <f t="shared" si="8"/>
        <v>Scuole</v>
      </c>
      <c r="C229" s="259" t="s">
        <v>1017</v>
      </c>
      <c r="D229" s="259" t="s">
        <v>1052</v>
      </c>
      <c r="E229" s="259" t="s">
        <v>1067</v>
      </c>
      <c r="F229" s="259" t="s">
        <v>1077</v>
      </c>
    </row>
    <row r="230" spans="1:6" x14ac:dyDescent="0.3">
      <c r="B230" s="26" t="str">
        <f t="shared" si="8"/>
        <v>Scuole (esenzione)</v>
      </c>
      <c r="C230" s="259" t="s">
        <v>1111</v>
      </c>
      <c r="D230" s="259" t="s">
        <v>1112</v>
      </c>
      <c r="E230" s="259" t="s">
        <v>1113</v>
      </c>
      <c r="F230" s="259" t="s">
        <v>1114</v>
      </c>
    </row>
    <row r="231" spans="1:6" x14ac:dyDescent="0.3">
      <c r="B231" s="26" t="str">
        <f t="shared" si="8"/>
        <v>Negozi</v>
      </c>
      <c r="C231" s="259" t="s">
        <v>1046</v>
      </c>
      <c r="D231" s="259" t="s">
        <v>1053</v>
      </c>
      <c r="E231" s="259" t="s">
        <v>1068</v>
      </c>
      <c r="F231" s="259" t="s">
        <v>1078</v>
      </c>
    </row>
    <row r="232" spans="1:6" x14ac:dyDescent="0.3">
      <c r="B232" s="26" t="str">
        <f t="shared" si="8"/>
        <v>Ristoranti</v>
      </c>
      <c r="C232" s="259" t="s">
        <v>1060</v>
      </c>
      <c r="D232" s="259" t="s">
        <v>1054</v>
      </c>
      <c r="E232" s="259" t="s">
        <v>1069</v>
      </c>
      <c r="F232" s="259" t="s">
        <v>1060</v>
      </c>
    </row>
    <row r="233" spans="1:6" x14ac:dyDescent="0.3">
      <c r="B233" s="26" t="str">
        <f t="shared" si="8"/>
        <v>Locali pubblici</v>
      </c>
      <c r="C233" s="259" t="s">
        <v>1061</v>
      </c>
      <c r="D233" s="259" t="s">
        <v>1055</v>
      </c>
      <c r="E233" s="259" t="s">
        <v>1070</v>
      </c>
      <c r="F233" s="259" t="s">
        <v>1079</v>
      </c>
    </row>
    <row r="234" spans="1:6" x14ac:dyDescent="0.3">
      <c r="B234" s="26" t="str">
        <f t="shared" si="8"/>
        <v>Ospedali</v>
      </c>
      <c r="C234" s="259" t="s">
        <v>1062</v>
      </c>
      <c r="D234" s="259" t="s">
        <v>1056</v>
      </c>
      <c r="E234" s="259" t="s">
        <v>1071</v>
      </c>
      <c r="F234" s="259" t="s">
        <v>1080</v>
      </c>
    </row>
    <row r="235" spans="1:6" x14ac:dyDescent="0.3">
      <c r="B235" s="26" t="str">
        <f t="shared" si="8"/>
        <v>Industrie</v>
      </c>
      <c r="C235" s="259" t="s">
        <v>1047</v>
      </c>
      <c r="D235" s="259" t="s">
        <v>1047</v>
      </c>
      <c r="E235" s="259" t="s">
        <v>1047</v>
      </c>
      <c r="F235" s="259" t="s">
        <v>1081</v>
      </c>
    </row>
    <row r="236" spans="1:6" x14ac:dyDescent="0.3">
      <c r="B236" s="26" t="str">
        <f t="shared" si="8"/>
        <v>Magazzini</v>
      </c>
      <c r="C236" s="259" t="s">
        <v>1048</v>
      </c>
      <c r="D236" s="259" t="s">
        <v>1059</v>
      </c>
      <c r="E236" s="259" t="s">
        <v>1072</v>
      </c>
      <c r="F236" s="259" t="s">
        <v>1082</v>
      </c>
    </row>
    <row r="237" spans="1:6" x14ac:dyDescent="0.3">
      <c r="B237" s="26" t="str">
        <f t="shared" si="8"/>
        <v>Impianti sportivi</v>
      </c>
      <c r="C237" s="259" t="s">
        <v>1049</v>
      </c>
      <c r="D237" s="259" t="s">
        <v>1057</v>
      </c>
      <c r="E237" s="259" t="s">
        <v>1073</v>
      </c>
      <c r="F237" s="259" t="s">
        <v>1083</v>
      </c>
    </row>
    <row r="238" spans="1:6" x14ac:dyDescent="0.3">
      <c r="B238" s="26" t="str">
        <f t="shared" si="8"/>
        <v>Piscine coperte</v>
      </c>
      <c r="C238" s="259" t="s">
        <v>1063</v>
      </c>
      <c r="D238" s="259" t="s">
        <v>1058</v>
      </c>
      <c r="E238" s="259" t="s">
        <v>1074</v>
      </c>
      <c r="F238" s="259" t="s">
        <v>1084</v>
      </c>
    </row>
    <row r="240" spans="1:6" x14ac:dyDescent="0.3">
      <c r="A240" s="26" t="s">
        <v>206</v>
      </c>
      <c r="B240" s="26" t="str">
        <f>INDEX($C240:$F240,1,MATCH(Sprachwahl,ListSprache,0))</f>
        <v>Riempire il foglio 'Questionario_ammodernamento'</v>
      </c>
      <c r="C240" s="26" t="str">
        <f>"Bitte zuerst Tabelle '"&amp;SheetQuestionaire&amp;"' ausfüllen."</f>
        <v>Bitte zuerst Tabelle 'Questionario_ammodernamento' ausfüllen.</v>
      </c>
      <c r="D240" s="26" t="str">
        <f>"Veuillez remplir en premier la feuille '"&amp;SheetQuestionaire&amp;"'"</f>
        <v>Veuillez remplir en premier la feuille 'Questionario_ammodernamento'</v>
      </c>
      <c r="E240" s="26" t="str">
        <f>"Riempire il foglio '"&amp;SheetQuestionaire&amp;"'"</f>
        <v>Riempire il foglio 'Questionario_ammodernamento'</v>
      </c>
      <c r="F240" s="26" t="str">
        <f>"Please fill out the sheet '"&amp;SheetQuestionaire&amp;"' first"</f>
        <v>Please fill out the sheet 'Questionario_ammodernamento' first</v>
      </c>
    </row>
    <row r="241" spans="1:7" x14ac:dyDescent="0.3">
      <c r="B241" s="26" t="str">
        <f>INDEX($C241:$F241,1,MATCH(Sprachwahl,ListSprache,0))</f>
        <v>Riempire le foglie 'Finestre', 'Illuminazione_naturale' e 'Prospettive'</v>
      </c>
      <c r="C241" s="26" t="str">
        <f>"Bitte direkt Tabellenblätter '"&amp;SheetWindow&amp;"', '"&amp;SheetDaylight&amp;"' und '"&amp;SheetViews&amp;"' ausfüllen"</f>
        <v>Bitte direkt Tabellenblätter 'Finestre', 'Illuminazione_naturale' und 'Prospettive' ausfüllen</v>
      </c>
      <c r="D241" s="26" t="str">
        <f>"Veuillez remplir directement les feuilles '"&amp;SheetWindow&amp;"', '"&amp;SheetDaylight&amp;"' et '"&amp;SheetViews&amp;"'"</f>
        <v>Veuillez remplir directement les feuilles 'Finestre', 'Illuminazione_naturale' et 'Prospettive'</v>
      </c>
      <c r="E241" s="26" t="str">
        <f>"Riempire le foglie '"&amp;SheetWindow&amp;"', '"&amp;SheetDaylight&amp;"' e '"&amp;SheetViews&amp;"'"</f>
        <v>Riempire le foglie 'Finestre', 'Illuminazione_naturale' e 'Prospettive'</v>
      </c>
      <c r="F241" s="26" t="str">
        <f>"Please fill out the sheets '"&amp;SheetWindow&amp;"', '"&amp;SheetDaylight&amp;"' and '"&amp;SheetViews&amp;"'"</f>
        <v>Please fill out the sheets 'Finestre', 'Illuminazione_naturale' and 'Prospettive'</v>
      </c>
    </row>
    <row r="243" spans="1:7" x14ac:dyDescent="0.3">
      <c r="A243" s="26" t="s">
        <v>207</v>
      </c>
      <c r="B243" s="26" t="str">
        <f>INDEX($C243:$F243,1,MATCH(Sprachwahl,ListSprache,0))</f>
        <v>Si</v>
      </c>
      <c r="C243" s="26" t="s">
        <v>52</v>
      </c>
      <c r="D243" s="26" t="s">
        <v>298</v>
      </c>
      <c r="E243" s="26" t="s">
        <v>423</v>
      </c>
      <c r="F243" s="26" t="s">
        <v>453</v>
      </c>
    </row>
    <row r="244" spans="1:7" x14ac:dyDescent="0.3">
      <c r="B244" s="26" t="str">
        <f>INDEX($C244:$F244,1,MATCH(Sprachwahl,ListSprache,0))</f>
        <v>No</v>
      </c>
      <c r="C244" s="26" t="s">
        <v>51</v>
      </c>
      <c r="D244" s="26" t="s">
        <v>297</v>
      </c>
      <c r="E244" s="26" t="s">
        <v>424</v>
      </c>
      <c r="F244" s="26" t="s">
        <v>424</v>
      </c>
    </row>
    <row r="246" spans="1:7" x14ac:dyDescent="0.3">
      <c r="A246" s="26" t="s">
        <v>448</v>
      </c>
      <c r="B246" s="26" t="str">
        <f>INDEX($C246:$F246,1,MATCH(Sprachwahl,ListSprache,0))</f>
        <v>Riassunto</v>
      </c>
      <c r="C246" s="26" t="s">
        <v>449</v>
      </c>
      <c r="D246" s="26" t="s">
        <v>451</v>
      </c>
      <c r="E246" s="26" t="s">
        <v>306</v>
      </c>
      <c r="F246" s="26" t="s">
        <v>325</v>
      </c>
    </row>
    <row r="247" spans="1:7" x14ac:dyDescent="0.3">
      <c r="B247" s="26" t="str">
        <f>INDEX($C247:$F247,1,MATCH(Sprachwahl,ListSprache,0))</f>
        <v>Finestre</v>
      </c>
      <c r="C247" s="26" t="s">
        <v>62</v>
      </c>
      <c r="D247" s="26" t="s">
        <v>234</v>
      </c>
      <c r="E247" s="26" t="s">
        <v>313</v>
      </c>
      <c r="F247" s="26" t="s">
        <v>354</v>
      </c>
    </row>
    <row r="248" spans="1:7" x14ac:dyDescent="0.3">
      <c r="B248" s="26" t="str">
        <f>INDEX($C248:$F248,1,MATCH(Sprachwahl,ListSprache,0))</f>
        <v>Illuminazione_naturale</v>
      </c>
      <c r="C248" s="26" t="s">
        <v>450</v>
      </c>
      <c r="D248" s="26" t="s">
        <v>689</v>
      </c>
      <c r="E248" s="26" t="s">
        <v>688</v>
      </c>
      <c r="F248" s="26" t="s">
        <v>452</v>
      </c>
    </row>
    <row r="249" spans="1:7" x14ac:dyDescent="0.3">
      <c r="B249" s="26" t="str">
        <f>INDEX($C249:$F249,1,MATCH(Sprachwahl,ListSprache,0))</f>
        <v>Prospettive</v>
      </c>
      <c r="C249" s="26" t="s">
        <v>883</v>
      </c>
      <c r="D249" s="26" t="s">
        <v>885</v>
      </c>
      <c r="E249" s="26" t="s">
        <v>886</v>
      </c>
      <c r="F249" s="26" t="s">
        <v>884</v>
      </c>
    </row>
    <row r="250" spans="1:7" x14ac:dyDescent="0.3">
      <c r="B250" s="26" t="str">
        <f>INDEX($C250:$F250,1,MATCH(Sprachwahl,ListSprache,0))</f>
        <v>Questionario_ammodernamento</v>
      </c>
      <c r="C250" s="26" t="s">
        <v>1012</v>
      </c>
      <c r="D250" s="26" t="s">
        <v>785</v>
      </c>
      <c r="E250" s="26" t="s">
        <v>786</v>
      </c>
      <c r="F250" s="26" t="s">
        <v>787</v>
      </c>
    </row>
    <row r="253" spans="1:7" x14ac:dyDescent="0.3">
      <c r="A253" s="37" t="s">
        <v>471</v>
      </c>
      <c r="B253" s="37"/>
      <c r="C253" s="37"/>
      <c r="D253" s="37"/>
      <c r="E253" s="37"/>
      <c r="F253" s="37"/>
      <c r="G253" s="37"/>
    </row>
    <row r="254" spans="1:7" x14ac:dyDescent="0.3">
      <c r="A254" s="37" t="s">
        <v>516</v>
      </c>
      <c r="B254" s="37" t="s">
        <v>517</v>
      </c>
      <c r="C254" s="37" t="s">
        <v>163</v>
      </c>
      <c r="D254" s="37" t="str">
        <f>C$4</f>
        <v>Deutsch</v>
      </c>
      <c r="E254" s="37" t="str">
        <f>D$4</f>
        <v>Francais</v>
      </c>
      <c r="F254" s="37" t="str">
        <f>E$4</f>
        <v>Italiano</v>
      </c>
      <c r="G254" s="37" t="str">
        <f>F$4</f>
        <v>English</v>
      </c>
    </row>
    <row r="255" spans="1:7" x14ac:dyDescent="0.3">
      <c r="A255" s="170">
        <v>2</v>
      </c>
      <c r="B255" s="26" t="s">
        <v>540</v>
      </c>
      <c r="C255" s="26" t="str">
        <f t="shared" ref="C255:C286" si="9">INDEX($D255:$G255,1,MATCH(Sprachwahl,ListSprache,0))</f>
        <v>Abbreviazione</v>
      </c>
      <c r="D255" s="217" t="s">
        <v>71</v>
      </c>
      <c r="E255" s="217" t="s">
        <v>986</v>
      </c>
      <c r="F255" s="217" t="s">
        <v>987</v>
      </c>
      <c r="G255" s="217" t="s">
        <v>988</v>
      </c>
    </row>
    <row r="256" spans="1:7" x14ac:dyDescent="0.3">
      <c r="A256" s="170"/>
      <c r="C256" s="26" t="str">
        <f t="shared" si="9"/>
        <v>Inserire una denominazione breve (max. 4 caratteri).</v>
      </c>
      <c r="D256" s="217" t="s">
        <v>991</v>
      </c>
      <c r="E256" s="217" t="s">
        <v>994</v>
      </c>
      <c r="F256" s="217" t="s">
        <v>995</v>
      </c>
      <c r="G256" s="217" t="s">
        <v>997</v>
      </c>
    </row>
    <row r="257" spans="1:7" x14ac:dyDescent="0.3">
      <c r="A257" s="170"/>
      <c r="C257" s="26" t="str">
        <f t="shared" si="9"/>
        <v>Errore</v>
      </c>
      <c r="D257" s="217" t="s">
        <v>531</v>
      </c>
      <c r="E257" s="217" t="s">
        <v>691</v>
      </c>
      <c r="F257" s="217" t="s">
        <v>582</v>
      </c>
      <c r="G257" s="217" t="s">
        <v>664</v>
      </c>
    </row>
    <row r="258" spans="1:7" x14ac:dyDescent="0.3">
      <c r="A258" s="170"/>
      <c r="C258" s="26" t="str">
        <f t="shared" si="9"/>
        <v>È possibile inserire un massimo di 4 caratteri.</v>
      </c>
      <c r="D258" s="217" t="s">
        <v>992</v>
      </c>
      <c r="E258" s="217" t="s">
        <v>993</v>
      </c>
      <c r="F258" s="217" t="s">
        <v>996</v>
      </c>
      <c r="G258" s="217" t="s">
        <v>998</v>
      </c>
    </row>
    <row r="259" spans="1:7" x14ac:dyDescent="0.3">
      <c r="A259" s="170">
        <v>2</v>
      </c>
      <c r="B259" s="26" t="s">
        <v>541</v>
      </c>
      <c r="C259" s="26" t="str">
        <f t="shared" si="9"/>
        <v>Denominazione</v>
      </c>
      <c r="D259" s="26" t="s">
        <v>72</v>
      </c>
      <c r="E259" s="26" t="s">
        <v>692</v>
      </c>
      <c r="F259" s="26" t="s">
        <v>583</v>
      </c>
      <c r="G259" s="26" t="s">
        <v>487</v>
      </c>
    </row>
    <row r="260" spans="1:7" x14ac:dyDescent="0.3">
      <c r="A260" s="170"/>
      <c r="C260" s="26" t="str">
        <f t="shared" si="9"/>
        <v>Inserisci un nome per la finestra</v>
      </c>
      <c r="D260" s="26" t="s">
        <v>557</v>
      </c>
      <c r="E260" s="26" t="s">
        <v>693</v>
      </c>
      <c r="F260" s="26" t="s">
        <v>584</v>
      </c>
      <c r="G260" s="26" t="s">
        <v>665</v>
      </c>
    </row>
    <row r="261" spans="1:7" x14ac:dyDescent="0.3">
      <c r="A261" s="170"/>
      <c r="C261" s="26" t="str">
        <f t="shared" si="9"/>
        <v>Errore</v>
      </c>
      <c r="D261" s="26" t="s">
        <v>531</v>
      </c>
      <c r="E261" s="26" t="s">
        <v>691</v>
      </c>
      <c r="F261" s="26" t="s">
        <v>582</v>
      </c>
      <c r="G261" s="26" t="s">
        <v>664</v>
      </c>
    </row>
    <row r="262" spans="1:7" x14ac:dyDescent="0.3">
      <c r="A262" s="170"/>
      <c r="C262" s="26" t="str">
        <f t="shared" si="9"/>
        <v>È possibile immettere al massimo 25 caratteri.</v>
      </c>
      <c r="D262" s="26" t="s">
        <v>558</v>
      </c>
      <c r="E262" s="26" t="s">
        <v>694</v>
      </c>
      <c r="F262" s="26" t="s">
        <v>585</v>
      </c>
      <c r="G262" s="26" t="s">
        <v>666</v>
      </c>
    </row>
    <row r="263" spans="1:7" x14ac:dyDescent="0.3">
      <c r="A263" s="170">
        <v>2</v>
      </c>
      <c r="B263" s="26" t="s">
        <v>542</v>
      </c>
      <c r="C263" s="26" t="str">
        <f t="shared" si="9"/>
        <v>Larghezza</v>
      </c>
      <c r="D263" s="26" t="s">
        <v>67</v>
      </c>
      <c r="E263" s="26" t="s">
        <v>695</v>
      </c>
      <c r="F263" s="26" t="s">
        <v>586</v>
      </c>
      <c r="G263" s="26" t="s">
        <v>667</v>
      </c>
    </row>
    <row r="264" spans="1:7" x14ac:dyDescent="0.3">
      <c r="A264" s="170"/>
      <c r="C264" s="26" t="str">
        <f t="shared" si="9"/>
        <v>Immettere la larghezza della finestra (misura in luce).</v>
      </c>
      <c r="D264" s="26" t="s">
        <v>562</v>
      </c>
      <c r="E264" s="26" t="s">
        <v>696</v>
      </c>
      <c r="F264" s="26" t="s">
        <v>587</v>
      </c>
      <c r="G264" s="26" t="s">
        <v>668</v>
      </c>
    </row>
    <row r="265" spans="1:7" x14ac:dyDescent="0.3">
      <c r="A265" s="170"/>
      <c r="C265" s="26" t="str">
        <f t="shared" si="9"/>
        <v>Errore</v>
      </c>
      <c r="D265" s="26" t="s">
        <v>531</v>
      </c>
      <c r="E265" s="26" t="s">
        <v>691</v>
      </c>
      <c r="F265" s="26" t="s">
        <v>582</v>
      </c>
      <c r="G265" s="26" t="s">
        <v>664</v>
      </c>
    </row>
    <row r="266" spans="1:7" x14ac:dyDescent="0.3">
      <c r="A266" s="170"/>
      <c r="C266" s="26" t="str">
        <f t="shared" si="9"/>
        <v>È necessario immettere valori compresi tra 0 e 9999.</v>
      </c>
      <c r="D266" s="26" t="s">
        <v>559</v>
      </c>
      <c r="E266" s="26" t="s">
        <v>697</v>
      </c>
      <c r="F266" s="26" t="s">
        <v>588</v>
      </c>
      <c r="G266" s="26" t="s">
        <v>669</v>
      </c>
    </row>
    <row r="267" spans="1:7" x14ac:dyDescent="0.3">
      <c r="A267" s="170">
        <v>2</v>
      </c>
      <c r="B267" s="26" t="s">
        <v>543</v>
      </c>
      <c r="C267" s="26" t="str">
        <f t="shared" si="9"/>
        <v>Altezza</v>
      </c>
      <c r="D267" s="26" t="s">
        <v>68</v>
      </c>
      <c r="E267" s="26" t="s">
        <v>698</v>
      </c>
      <c r="F267" s="26" t="s">
        <v>589</v>
      </c>
      <c r="G267" s="26" t="s">
        <v>674</v>
      </c>
    </row>
    <row r="268" spans="1:7" x14ac:dyDescent="0.3">
      <c r="A268" s="170"/>
      <c r="C268" s="26" t="str">
        <f t="shared" si="9"/>
        <v>Immettere la altezza della finestra (misura in luce).</v>
      </c>
      <c r="D268" s="26" t="s">
        <v>563</v>
      </c>
      <c r="E268" s="26" t="s">
        <v>699</v>
      </c>
      <c r="F268" s="26" t="s">
        <v>590</v>
      </c>
      <c r="G268" s="26" t="s">
        <v>675</v>
      </c>
    </row>
    <row r="269" spans="1:7" x14ac:dyDescent="0.3">
      <c r="A269" s="170"/>
      <c r="C269" s="26" t="str">
        <f t="shared" si="9"/>
        <v>Errore</v>
      </c>
      <c r="D269" s="26" t="s">
        <v>531</v>
      </c>
      <c r="E269" s="26" t="s">
        <v>691</v>
      </c>
      <c r="F269" s="26" t="s">
        <v>582</v>
      </c>
      <c r="G269" s="26" t="s">
        <v>664</v>
      </c>
    </row>
    <row r="270" spans="1:7" x14ac:dyDescent="0.3">
      <c r="A270" s="170"/>
      <c r="C270" s="26" t="str">
        <f t="shared" si="9"/>
        <v>È necessario immettere valori compresi tra 0 e 9999.</v>
      </c>
      <c r="D270" s="26" t="s">
        <v>559</v>
      </c>
      <c r="E270" s="26" t="s">
        <v>697</v>
      </c>
      <c r="F270" s="26" t="s">
        <v>588</v>
      </c>
      <c r="G270" s="26" t="s">
        <v>669</v>
      </c>
    </row>
    <row r="271" spans="1:7" x14ac:dyDescent="0.3">
      <c r="A271" s="170">
        <v>2</v>
      </c>
      <c r="B271" s="26" t="s">
        <v>544</v>
      </c>
      <c r="C271" s="26" t="str">
        <f t="shared" si="9"/>
        <v>Porzione di vetro</v>
      </c>
      <c r="D271" s="26" t="s">
        <v>546</v>
      </c>
      <c r="E271" s="26" t="s">
        <v>700</v>
      </c>
      <c r="F271" s="26" t="s">
        <v>591</v>
      </c>
      <c r="G271" s="26" t="s">
        <v>676</v>
      </c>
    </row>
    <row r="272" spans="1:7" x14ac:dyDescent="0.3">
      <c r="A272" s="170"/>
      <c r="C272" s="26" t="str">
        <f t="shared" si="9"/>
        <v>Inserire la porzione di vetro rispetto al vano della finestra</v>
      </c>
      <c r="D272" s="26" t="s">
        <v>564</v>
      </c>
      <c r="E272" s="26" t="s">
        <v>701</v>
      </c>
      <c r="F272" s="26" t="s">
        <v>592</v>
      </c>
      <c r="G272" s="26" t="s">
        <v>677</v>
      </c>
    </row>
    <row r="273" spans="1:7" x14ac:dyDescent="0.3">
      <c r="A273" s="170"/>
      <c r="C273" s="26" t="str">
        <f t="shared" si="9"/>
        <v>Errore</v>
      </c>
      <c r="D273" s="26" t="s">
        <v>531</v>
      </c>
      <c r="E273" s="26" t="s">
        <v>691</v>
      </c>
      <c r="F273" s="26" t="s">
        <v>582</v>
      </c>
      <c r="G273" s="26" t="s">
        <v>664</v>
      </c>
    </row>
    <row r="274" spans="1:7" x14ac:dyDescent="0.3">
      <c r="A274" s="170"/>
      <c r="C274" s="26" t="str">
        <f t="shared" si="9"/>
        <v>È necessario immettere valori compresi tra 0% e 100%.</v>
      </c>
      <c r="D274" s="26" t="s">
        <v>560</v>
      </c>
      <c r="E274" s="26" t="s">
        <v>702</v>
      </c>
      <c r="F274" s="26" t="s">
        <v>593</v>
      </c>
      <c r="G274" s="26" t="s">
        <v>671</v>
      </c>
    </row>
    <row r="275" spans="1:7" x14ac:dyDescent="0.3">
      <c r="A275" s="170">
        <v>2</v>
      </c>
      <c r="B275" s="26" t="s">
        <v>545</v>
      </c>
      <c r="C275" s="26" t="str">
        <f t="shared" si="9"/>
        <v>Coeff. luminosità</v>
      </c>
      <c r="D275" s="26" t="s">
        <v>69</v>
      </c>
      <c r="E275" s="26" t="s">
        <v>69</v>
      </c>
      <c r="F275" s="26" t="s">
        <v>594</v>
      </c>
      <c r="G275" s="26" t="s">
        <v>678</v>
      </c>
    </row>
    <row r="276" spans="1:7" ht="15" customHeight="1" x14ac:dyDescent="0.3">
      <c r="A276" s="170"/>
      <c r="C276" s="26" t="str">
        <f t="shared" si="9"/>
        <v>Immettere il coefficiente di luminosità del vetro. _x000D_
Attenzione: nel caso di vetrate disposte davanti alla finestra (giardino d'inverno, doppie facciate, ecc.) moltiplicare per il coefficiente di luminosità della vetrata.</v>
      </c>
      <c r="D276" s="214" t="s">
        <v>911</v>
      </c>
      <c r="E276" s="26" t="s">
        <v>703</v>
      </c>
      <c r="F276" s="26" t="s">
        <v>595</v>
      </c>
      <c r="G276" s="26" t="s">
        <v>679</v>
      </c>
    </row>
    <row r="277" spans="1:7" x14ac:dyDescent="0.3">
      <c r="A277" s="170"/>
      <c r="C277" s="26" t="str">
        <f t="shared" si="9"/>
        <v>Errore</v>
      </c>
      <c r="D277" s="26" t="s">
        <v>531</v>
      </c>
      <c r="E277" s="26" t="s">
        <v>691</v>
      </c>
      <c r="F277" s="26" t="s">
        <v>582</v>
      </c>
      <c r="G277" s="26" t="s">
        <v>664</v>
      </c>
    </row>
    <row r="278" spans="1:7" x14ac:dyDescent="0.3">
      <c r="A278" s="170"/>
      <c r="C278" s="26" t="str">
        <f t="shared" si="9"/>
        <v>È necessario immettere valori compresi tra 0% e 100%.</v>
      </c>
      <c r="D278" s="26" t="s">
        <v>560</v>
      </c>
      <c r="E278" s="26" t="s">
        <v>702</v>
      </c>
      <c r="F278" s="26" t="s">
        <v>593</v>
      </c>
      <c r="G278" s="26" t="s">
        <v>671</v>
      </c>
    </row>
    <row r="279" spans="1:7" x14ac:dyDescent="0.3">
      <c r="A279" s="170">
        <v>2</v>
      </c>
      <c r="B279" s="26" t="s">
        <v>549</v>
      </c>
      <c r="C279" s="26" t="str">
        <f t="shared" si="9"/>
        <v>Architrave</v>
      </c>
      <c r="D279" s="26" t="s">
        <v>547</v>
      </c>
      <c r="E279" s="26" t="s">
        <v>704</v>
      </c>
      <c r="F279" s="26" t="s">
        <v>596</v>
      </c>
      <c r="G279" s="26" t="s">
        <v>673</v>
      </c>
    </row>
    <row r="280" spans="1:7" x14ac:dyDescent="0.3">
      <c r="A280" s="170"/>
      <c r="C280" s="26" t="str">
        <f t="shared" si="9"/>
        <v>Inserire la distanza tra soffitto e vetrate.</v>
      </c>
      <c r="D280" s="26" t="s">
        <v>565</v>
      </c>
      <c r="E280" s="26" t="s">
        <v>705</v>
      </c>
      <c r="F280" s="26" t="s">
        <v>597</v>
      </c>
      <c r="G280" s="26" t="s">
        <v>672</v>
      </c>
    </row>
    <row r="281" spans="1:7" x14ac:dyDescent="0.3">
      <c r="A281" s="170"/>
      <c r="C281" s="26" t="str">
        <f t="shared" si="9"/>
        <v>Errore</v>
      </c>
      <c r="D281" s="26" t="s">
        <v>531</v>
      </c>
      <c r="E281" s="26" t="s">
        <v>691</v>
      </c>
      <c r="F281" s="26" t="s">
        <v>582</v>
      </c>
      <c r="G281" s="26" t="s">
        <v>664</v>
      </c>
    </row>
    <row r="282" spans="1:7" x14ac:dyDescent="0.3">
      <c r="A282" s="170"/>
      <c r="C282" s="26" t="str">
        <f t="shared" si="9"/>
        <v>È necessario immettere valori compresi tra 0 e 9999.</v>
      </c>
      <c r="D282" s="26" t="s">
        <v>561</v>
      </c>
      <c r="E282" s="26" t="s">
        <v>706</v>
      </c>
      <c r="F282" s="26" t="s">
        <v>588</v>
      </c>
      <c r="G282" s="26" t="s">
        <v>670</v>
      </c>
    </row>
    <row r="283" spans="1:7" x14ac:dyDescent="0.3">
      <c r="A283" s="170">
        <v>2</v>
      </c>
      <c r="B283" s="26" t="s">
        <v>550</v>
      </c>
      <c r="C283" s="26" t="str">
        <f t="shared" si="9"/>
        <v>Aggetto</v>
      </c>
      <c r="D283" s="26" t="s">
        <v>548</v>
      </c>
      <c r="E283" s="26" t="s">
        <v>707</v>
      </c>
      <c r="F283" s="26" t="s">
        <v>598</v>
      </c>
      <c r="G283" s="26" t="s">
        <v>683</v>
      </c>
    </row>
    <row r="284" spans="1:7" x14ac:dyDescent="0.3">
      <c r="A284" s="170"/>
      <c r="C284" s="26" t="str">
        <f t="shared" si="9"/>
        <v>Inserire la distanza orizzontale tra la finestra e il bordo anteriore della sporgenza.</v>
      </c>
      <c r="D284" s="26" t="s">
        <v>566</v>
      </c>
      <c r="E284" s="26" t="s">
        <v>708</v>
      </c>
      <c r="F284" s="26" t="s">
        <v>599</v>
      </c>
      <c r="G284" s="26" t="s">
        <v>684</v>
      </c>
    </row>
    <row r="285" spans="1:7" x14ac:dyDescent="0.3">
      <c r="A285" s="170"/>
      <c r="C285" s="26" t="str">
        <f t="shared" si="9"/>
        <v>Errore</v>
      </c>
      <c r="D285" s="26" t="s">
        <v>531</v>
      </c>
      <c r="E285" s="26" t="s">
        <v>691</v>
      </c>
      <c r="F285" s="26" t="s">
        <v>582</v>
      </c>
      <c r="G285" s="26" t="s">
        <v>664</v>
      </c>
    </row>
    <row r="286" spans="1:7" x14ac:dyDescent="0.3">
      <c r="A286" s="170"/>
      <c r="C286" s="26" t="str">
        <f t="shared" si="9"/>
        <v>È necessario immettere valori compresi tra 0 e 9999.</v>
      </c>
      <c r="D286" s="26" t="s">
        <v>561</v>
      </c>
      <c r="E286" s="26" t="s">
        <v>706</v>
      </c>
      <c r="F286" s="26" t="s">
        <v>588</v>
      </c>
      <c r="G286" s="26" t="s">
        <v>670</v>
      </c>
    </row>
    <row r="287" spans="1:7" x14ac:dyDescent="0.3">
      <c r="A287" s="170">
        <v>2</v>
      </c>
      <c r="B287" s="26" t="s">
        <v>551</v>
      </c>
      <c r="C287" s="26" t="str">
        <f t="shared" ref="C287:C318" si="10">INDEX($D287:$G287,1,MATCH(Sprachwahl,ListSprache,0))</f>
        <v>Lucernari</v>
      </c>
      <c r="D287" s="26" t="s">
        <v>555</v>
      </c>
      <c r="E287" s="26" t="s">
        <v>709</v>
      </c>
      <c r="F287" s="26" t="s">
        <v>600</v>
      </c>
      <c r="G287" s="26" t="s">
        <v>680</v>
      </c>
    </row>
    <row r="288" spans="1:7" x14ac:dyDescent="0.3">
      <c r="A288" s="170"/>
      <c r="C288" s="26" t="str">
        <f t="shared" si="10"/>
        <v>Selezionare Sì se la finestra è posizionata nel tetto (angolo da 0° a 45° rispetto all' orizzontale)</v>
      </c>
      <c r="D288" s="26" t="s">
        <v>567</v>
      </c>
      <c r="E288" s="26" t="s">
        <v>710</v>
      </c>
      <c r="F288" s="26" t="s">
        <v>601</v>
      </c>
      <c r="G288" s="26" t="s">
        <v>681</v>
      </c>
    </row>
    <row r="289" spans="1:7" x14ac:dyDescent="0.3">
      <c r="A289" s="170"/>
      <c r="C289" s="26" t="str">
        <f t="shared" si="10"/>
        <v>Errore</v>
      </c>
      <c r="D289" s="26" t="s">
        <v>531</v>
      </c>
      <c r="E289" s="26" t="s">
        <v>691</v>
      </c>
      <c r="F289" s="26" t="s">
        <v>582</v>
      </c>
      <c r="G289" s="26" t="s">
        <v>664</v>
      </c>
    </row>
    <row r="290" spans="1:7" x14ac:dyDescent="0.3">
      <c r="A290" s="170"/>
      <c r="C290" s="26" t="str">
        <f t="shared" si="10"/>
        <v>È necessario selezionare una voce dall' elenco.</v>
      </c>
      <c r="D290" s="26" t="s">
        <v>43</v>
      </c>
      <c r="E290" s="26" t="s">
        <v>711</v>
      </c>
      <c r="F290" s="26" t="s">
        <v>602</v>
      </c>
      <c r="G290" s="26" t="s">
        <v>682</v>
      </c>
    </row>
    <row r="291" spans="1:7" x14ac:dyDescent="0.3">
      <c r="A291" s="170">
        <v>2</v>
      </c>
      <c r="B291" s="26" t="s">
        <v>552</v>
      </c>
      <c r="C291" s="26" t="str">
        <f t="shared" si="10"/>
        <v>Protezione solare tipo</v>
      </c>
      <c r="D291" s="26" t="s">
        <v>556</v>
      </c>
      <c r="E291" s="26" t="s">
        <v>712</v>
      </c>
      <c r="F291" s="26" t="s">
        <v>603</v>
      </c>
      <c r="G291" s="26" t="s">
        <v>776</v>
      </c>
    </row>
    <row r="292" spans="1:7" x14ac:dyDescent="0.3">
      <c r="A292" s="170"/>
      <c r="C292" s="26" t="str">
        <f t="shared" si="10"/>
        <v>Selezionare il tipo di protezione solare più appropriato dall' elenco.</v>
      </c>
      <c r="D292" s="26" t="s">
        <v>568</v>
      </c>
      <c r="E292" s="26" t="s">
        <v>713</v>
      </c>
      <c r="F292" s="26" t="s">
        <v>604</v>
      </c>
      <c r="G292" s="26" t="s">
        <v>777</v>
      </c>
    </row>
    <row r="293" spans="1:7" x14ac:dyDescent="0.3">
      <c r="A293" s="170"/>
      <c r="C293" s="26" t="str">
        <f t="shared" si="10"/>
        <v>Errore</v>
      </c>
      <c r="D293" s="26" t="s">
        <v>531</v>
      </c>
      <c r="E293" s="26" t="s">
        <v>691</v>
      </c>
      <c r="F293" s="26" t="s">
        <v>582</v>
      </c>
      <c r="G293" s="26" t="s">
        <v>664</v>
      </c>
    </row>
    <row r="294" spans="1:7" x14ac:dyDescent="0.3">
      <c r="A294" s="170"/>
      <c r="C294" s="26" t="str">
        <f t="shared" si="10"/>
        <v>È necessario selezionare una voce dall' elenco.</v>
      </c>
      <c r="D294" s="26" t="s">
        <v>43</v>
      </c>
      <c r="E294" s="26" t="s">
        <v>711</v>
      </c>
      <c r="F294" s="26" t="s">
        <v>602</v>
      </c>
      <c r="G294" s="26" t="s">
        <v>682</v>
      </c>
    </row>
    <row r="295" spans="1:7" x14ac:dyDescent="0.3">
      <c r="A295" s="170">
        <v>2</v>
      </c>
      <c r="B295" s="26" t="s">
        <v>553</v>
      </c>
      <c r="C295" s="26" t="str">
        <f t="shared" si="10"/>
        <v>Controllo</v>
      </c>
      <c r="D295" s="26" t="s">
        <v>110</v>
      </c>
      <c r="E295" s="26" t="s">
        <v>714</v>
      </c>
      <c r="F295" s="26" t="s">
        <v>605</v>
      </c>
      <c r="G295" s="26" t="s">
        <v>778</v>
      </c>
    </row>
    <row r="296" spans="1:7" x14ac:dyDescent="0.3">
      <c r="A296" s="170"/>
      <c r="C296" s="26" t="str">
        <f t="shared" si="10"/>
        <v>Selezionare il tipo di controllo più appropriato dall' elenco.</v>
      </c>
      <c r="D296" s="26" t="s">
        <v>569</v>
      </c>
      <c r="E296" s="26" t="s">
        <v>715</v>
      </c>
      <c r="F296" s="26" t="s">
        <v>606</v>
      </c>
      <c r="G296" s="26" t="s">
        <v>779</v>
      </c>
    </row>
    <row r="297" spans="1:7" x14ac:dyDescent="0.3">
      <c r="A297" s="170"/>
      <c r="C297" s="26" t="str">
        <f t="shared" si="10"/>
        <v>Errore</v>
      </c>
      <c r="D297" s="26" t="s">
        <v>531</v>
      </c>
      <c r="E297" s="26" t="s">
        <v>691</v>
      </c>
      <c r="F297" s="26" t="s">
        <v>582</v>
      </c>
      <c r="G297" s="26" t="s">
        <v>664</v>
      </c>
    </row>
    <row r="298" spans="1:7" x14ac:dyDescent="0.3">
      <c r="A298" s="170"/>
      <c r="C298" s="26" t="str">
        <f t="shared" si="10"/>
        <v>È necessario selezionare una voce dall' elenco.</v>
      </c>
      <c r="D298" s="26" t="s">
        <v>43</v>
      </c>
      <c r="E298" s="26" t="s">
        <v>711</v>
      </c>
      <c r="F298" s="26" t="s">
        <v>602</v>
      </c>
      <c r="G298" s="26" t="s">
        <v>759</v>
      </c>
    </row>
    <row r="299" spans="1:7" x14ac:dyDescent="0.3">
      <c r="A299" s="170">
        <v>2</v>
      </c>
      <c r="B299" s="26" t="s">
        <v>554</v>
      </c>
      <c r="C299" s="26" t="str">
        <f t="shared" si="10"/>
        <v>Ombreggiamento</v>
      </c>
      <c r="D299" s="26" t="s">
        <v>125</v>
      </c>
      <c r="E299" s="26" t="s">
        <v>716</v>
      </c>
      <c r="F299" s="26" t="s">
        <v>607</v>
      </c>
      <c r="G299" s="26" t="s">
        <v>767</v>
      </c>
    </row>
    <row r="300" spans="1:7" x14ac:dyDescent="0.3">
      <c r="A300" s="170"/>
      <c r="C300" s="26" t="str">
        <f t="shared" si="10"/>
        <v>Selezionare la situazione più appropriata della facciata in cui è collocata la finestra.</v>
      </c>
      <c r="D300" s="26" t="s">
        <v>570</v>
      </c>
      <c r="E300" s="26" t="s">
        <v>717</v>
      </c>
      <c r="F300" s="26" t="s">
        <v>608</v>
      </c>
      <c r="G300" s="26" t="s">
        <v>780</v>
      </c>
    </row>
    <row r="301" spans="1:7" x14ac:dyDescent="0.3">
      <c r="A301" s="170"/>
      <c r="C301" s="26" t="str">
        <f t="shared" si="10"/>
        <v>Errore</v>
      </c>
      <c r="D301" s="26" t="s">
        <v>531</v>
      </c>
      <c r="E301" s="26" t="s">
        <v>691</v>
      </c>
      <c r="F301" s="26" t="s">
        <v>582</v>
      </c>
      <c r="G301" s="26" t="s">
        <v>664</v>
      </c>
    </row>
    <row r="302" spans="1:7" x14ac:dyDescent="0.3">
      <c r="A302" s="170"/>
      <c r="C302" s="26" t="str">
        <f t="shared" si="10"/>
        <v>È necessario selezionare una voce dall' elenco.</v>
      </c>
      <c r="D302" s="26" t="s">
        <v>43</v>
      </c>
      <c r="E302" s="26" t="s">
        <v>711</v>
      </c>
      <c r="F302" s="26" t="s">
        <v>602</v>
      </c>
      <c r="G302" s="26" t="s">
        <v>759</v>
      </c>
    </row>
    <row r="303" spans="1:7" x14ac:dyDescent="0.3">
      <c r="A303" s="169">
        <v>3</v>
      </c>
      <c r="B303" s="26" t="s">
        <v>518</v>
      </c>
      <c r="C303" s="26" t="str">
        <f t="shared" si="10"/>
        <v>Locale tipo</v>
      </c>
      <c r="D303" s="26" t="s">
        <v>36</v>
      </c>
      <c r="E303" s="26" t="s">
        <v>718</v>
      </c>
      <c r="F303" s="26" t="s">
        <v>609</v>
      </c>
      <c r="G303" s="26" t="s">
        <v>766</v>
      </c>
    </row>
    <row r="304" spans="1:7" x14ac:dyDescent="0.3">
      <c r="A304" s="169"/>
      <c r="C304" s="26" t="str">
        <f t="shared" si="10"/>
        <v>Immettere qui il nome del locale. I locali secondari non devono essere registrati.</v>
      </c>
      <c r="D304" s="26" t="s">
        <v>507</v>
      </c>
      <c r="E304" s="26" t="s">
        <v>719</v>
      </c>
      <c r="F304" s="26" t="s">
        <v>610</v>
      </c>
      <c r="G304" s="26" t="s">
        <v>768</v>
      </c>
    </row>
    <row r="305" spans="1:7" x14ac:dyDescent="0.3">
      <c r="A305" s="169"/>
      <c r="C305" s="26" t="str">
        <f t="shared" si="10"/>
        <v>Errore</v>
      </c>
      <c r="D305" s="26" t="s">
        <v>531</v>
      </c>
      <c r="E305" s="26" t="s">
        <v>691</v>
      </c>
      <c r="F305" s="26" t="s">
        <v>582</v>
      </c>
      <c r="G305" s="26" t="s">
        <v>664</v>
      </c>
    </row>
    <row r="306" spans="1:7" x14ac:dyDescent="0.3">
      <c r="A306" s="169"/>
      <c r="C306" s="26" t="str">
        <f t="shared" si="10"/>
        <v>Inserisci solo testo in questo campo.</v>
      </c>
      <c r="D306" s="26" t="s">
        <v>532</v>
      </c>
      <c r="E306" s="26" t="s">
        <v>720</v>
      </c>
      <c r="F306" s="26" t="s">
        <v>611</v>
      </c>
      <c r="G306" s="26" t="s">
        <v>756</v>
      </c>
    </row>
    <row r="307" spans="1:7" x14ac:dyDescent="0.3">
      <c r="A307" s="169">
        <v>3</v>
      </c>
      <c r="B307" s="26" t="s">
        <v>519</v>
      </c>
      <c r="C307" s="26" t="str">
        <f t="shared" si="10"/>
        <v>Uso principale</v>
      </c>
      <c r="D307" s="26" t="s">
        <v>61</v>
      </c>
      <c r="E307" s="26" t="s">
        <v>721</v>
      </c>
      <c r="F307" s="26" t="s">
        <v>612</v>
      </c>
      <c r="G307" s="26" t="s">
        <v>757</v>
      </c>
    </row>
    <row r="308" spans="1:7" x14ac:dyDescent="0.3">
      <c r="A308" s="169"/>
      <c r="C308" s="26" t="str">
        <f t="shared" si="10"/>
        <v>Selezionare una voce dall' elenco che meglio corrisponde all' utilizzo della stanza. I locali secondari non devono essere registrati.</v>
      </c>
      <c r="D308" s="26" t="s">
        <v>506</v>
      </c>
      <c r="E308" s="26" t="s">
        <v>722</v>
      </c>
      <c r="F308" s="26" t="s">
        <v>613</v>
      </c>
      <c r="G308" s="26" t="s">
        <v>758</v>
      </c>
    </row>
    <row r="309" spans="1:7" x14ac:dyDescent="0.3">
      <c r="A309" s="169"/>
      <c r="C309" s="26" t="str">
        <f t="shared" si="10"/>
        <v>Errore</v>
      </c>
      <c r="D309" s="26" t="s">
        <v>531</v>
      </c>
      <c r="E309" s="26" t="s">
        <v>691</v>
      </c>
      <c r="F309" s="26" t="s">
        <v>582</v>
      </c>
      <c r="G309" s="26" t="s">
        <v>664</v>
      </c>
    </row>
    <row r="310" spans="1:7" x14ac:dyDescent="0.3">
      <c r="A310" s="169"/>
      <c r="C310" s="26" t="str">
        <f t="shared" si="10"/>
        <v>È necessario selezionare una voce dall' elenco.</v>
      </c>
      <c r="D310" s="26" t="s">
        <v>43</v>
      </c>
      <c r="E310" s="26" t="s">
        <v>711</v>
      </c>
      <c r="F310" s="26" t="s">
        <v>602</v>
      </c>
      <c r="G310" s="26" t="s">
        <v>759</v>
      </c>
    </row>
    <row r="311" spans="1:7" x14ac:dyDescent="0.3">
      <c r="A311" s="169">
        <v>3</v>
      </c>
      <c r="B311" s="26" t="s">
        <v>520</v>
      </c>
      <c r="C311" s="26" t="str">
        <f t="shared" si="10"/>
        <v>Larghezza</v>
      </c>
      <c r="D311" s="26" t="s">
        <v>508</v>
      </c>
      <c r="E311" s="26" t="s">
        <v>723</v>
      </c>
      <c r="F311" s="26" t="s">
        <v>586</v>
      </c>
      <c r="G311" s="26" t="s">
        <v>754</v>
      </c>
    </row>
    <row r="312" spans="1:7" x14ac:dyDescent="0.3">
      <c r="A312" s="169"/>
      <c r="C312" s="26" t="str">
        <f t="shared" si="10"/>
        <v>Immettere le dimensioni del locale.</v>
      </c>
      <c r="D312" s="26" t="s">
        <v>509</v>
      </c>
      <c r="E312" s="26" t="s">
        <v>724</v>
      </c>
      <c r="F312" s="26" t="s">
        <v>614</v>
      </c>
      <c r="G312" s="26" t="s">
        <v>755</v>
      </c>
    </row>
    <row r="313" spans="1:7" x14ac:dyDescent="0.3">
      <c r="A313" s="169"/>
      <c r="C313" s="26" t="str">
        <f t="shared" si="10"/>
        <v>Errore</v>
      </c>
      <c r="D313" s="26" t="s">
        <v>531</v>
      </c>
      <c r="E313" s="26" t="s">
        <v>691</v>
      </c>
      <c r="F313" s="26" t="s">
        <v>582</v>
      </c>
      <c r="G313" s="26" t="s">
        <v>664</v>
      </c>
    </row>
    <row r="314" spans="1:7" x14ac:dyDescent="0.3">
      <c r="A314" s="169"/>
      <c r="C314" s="26" t="str">
        <f t="shared" si="10"/>
        <v>È necessario immettere valori compresi tra 0 e 999.</v>
      </c>
      <c r="D314" s="26" t="s">
        <v>559</v>
      </c>
      <c r="E314" s="26" t="s">
        <v>697</v>
      </c>
      <c r="F314" s="26" t="s">
        <v>752</v>
      </c>
      <c r="G314" s="26" t="s">
        <v>669</v>
      </c>
    </row>
    <row r="315" spans="1:7" x14ac:dyDescent="0.3">
      <c r="A315" s="169">
        <v>3</v>
      </c>
      <c r="B315" s="26" t="s">
        <v>521</v>
      </c>
      <c r="C315" s="26" t="str">
        <f t="shared" si="10"/>
        <v>Profondità</v>
      </c>
      <c r="D315" s="26" t="s">
        <v>510</v>
      </c>
      <c r="E315" s="26" t="s">
        <v>726</v>
      </c>
      <c r="F315" s="26" t="s">
        <v>615</v>
      </c>
      <c r="G315" s="26" t="s">
        <v>765</v>
      </c>
    </row>
    <row r="316" spans="1:7" x14ac:dyDescent="0.3">
      <c r="A316" s="169"/>
      <c r="C316" s="26" t="str">
        <f t="shared" si="10"/>
        <v>Immettere le dimensioni del locale.</v>
      </c>
      <c r="D316" s="26" t="s">
        <v>509</v>
      </c>
      <c r="E316" s="26" t="s">
        <v>724</v>
      </c>
      <c r="F316" s="26" t="s">
        <v>614</v>
      </c>
      <c r="G316" s="26" t="s">
        <v>755</v>
      </c>
    </row>
    <row r="317" spans="1:7" x14ac:dyDescent="0.3">
      <c r="A317" s="169"/>
      <c r="C317" s="26" t="str">
        <f t="shared" si="10"/>
        <v>Errore</v>
      </c>
      <c r="D317" s="26" t="s">
        <v>531</v>
      </c>
      <c r="E317" s="26" t="s">
        <v>691</v>
      </c>
      <c r="F317" s="26" t="s">
        <v>582</v>
      </c>
      <c r="G317" s="26" t="s">
        <v>664</v>
      </c>
    </row>
    <row r="318" spans="1:7" x14ac:dyDescent="0.3">
      <c r="A318" s="169"/>
      <c r="C318" s="26" t="str">
        <f t="shared" si="10"/>
        <v>È necessario immettere valori compresi tra 0 e 999.</v>
      </c>
      <c r="D318" s="26" t="s">
        <v>559</v>
      </c>
      <c r="E318" s="26" t="s">
        <v>697</v>
      </c>
      <c r="F318" s="26" t="s">
        <v>752</v>
      </c>
      <c r="G318" s="26" t="s">
        <v>669</v>
      </c>
    </row>
    <row r="319" spans="1:7" x14ac:dyDescent="0.3">
      <c r="A319" s="169">
        <v>3</v>
      </c>
      <c r="B319" s="26" t="s">
        <v>522</v>
      </c>
      <c r="C319" s="26" t="str">
        <f t="shared" ref="C319:C350" si="11">INDEX($D319:$G319,1,MATCH(Sprachwahl,ListSprache,0))</f>
        <v>Altezza</v>
      </c>
      <c r="D319" s="26" t="s">
        <v>68</v>
      </c>
      <c r="E319" s="26" t="s">
        <v>698</v>
      </c>
      <c r="F319" s="26" t="s">
        <v>589</v>
      </c>
      <c r="G319" s="26" t="s">
        <v>674</v>
      </c>
    </row>
    <row r="320" spans="1:7" x14ac:dyDescent="0.3">
      <c r="A320" s="169"/>
      <c r="C320" s="26" t="str">
        <f t="shared" si="11"/>
        <v>Immettere l' altezza in luce. Se il locale ha altezze diverse, inserire l'altezza media o inserire le aree separatamente.</v>
      </c>
      <c r="D320" s="26" t="s">
        <v>511</v>
      </c>
      <c r="E320" s="26" t="s">
        <v>727</v>
      </c>
      <c r="F320" s="26" t="s">
        <v>616</v>
      </c>
    </row>
    <row r="321" spans="1:7" x14ac:dyDescent="0.3">
      <c r="A321" s="169"/>
      <c r="C321" s="26" t="str">
        <f t="shared" si="11"/>
        <v>Errore</v>
      </c>
      <c r="D321" s="26" t="s">
        <v>531</v>
      </c>
      <c r="E321" s="26" t="s">
        <v>691</v>
      </c>
      <c r="F321" s="26" t="s">
        <v>582</v>
      </c>
      <c r="G321" s="26" t="s">
        <v>664</v>
      </c>
    </row>
    <row r="322" spans="1:7" x14ac:dyDescent="0.3">
      <c r="A322" s="169"/>
      <c r="C322" s="26" t="str">
        <f t="shared" si="11"/>
        <v>È necessario immettere valori compresi tra 0 e 99.</v>
      </c>
      <c r="D322" s="26" t="s">
        <v>561</v>
      </c>
      <c r="E322" s="26" t="s">
        <v>706</v>
      </c>
      <c r="F322" s="26" t="s">
        <v>753</v>
      </c>
      <c r="G322" s="26" t="s">
        <v>670</v>
      </c>
    </row>
    <row r="323" spans="1:7" x14ac:dyDescent="0.3">
      <c r="A323" s="169">
        <v>3</v>
      </c>
      <c r="B323" s="26" t="s">
        <v>523</v>
      </c>
      <c r="C323" s="26" t="str">
        <f t="shared" si="11"/>
        <v>Superficie</v>
      </c>
      <c r="D323" s="26" t="s">
        <v>482</v>
      </c>
      <c r="E323" s="26" t="s">
        <v>728</v>
      </c>
      <c r="F323" s="26" t="s">
        <v>617</v>
      </c>
      <c r="G323" s="26" t="s">
        <v>764</v>
      </c>
    </row>
    <row r="324" spans="1:7" x14ac:dyDescent="0.3">
      <c r="A324" s="169"/>
      <c r="C324" s="26" t="str">
        <f t="shared" si="11"/>
        <v>Se l' area non corrisponde alla moltiplicazione tra la larghezza e la profondità, inserirla qui, altrimenti lasciare in bianco.</v>
      </c>
      <c r="D324" s="26" t="s">
        <v>512</v>
      </c>
      <c r="E324" s="26" t="s">
        <v>729</v>
      </c>
      <c r="F324" s="26" t="s">
        <v>618</v>
      </c>
    </row>
    <row r="325" spans="1:7" x14ac:dyDescent="0.3">
      <c r="A325" s="169"/>
      <c r="C325" s="26" t="str">
        <f t="shared" si="11"/>
        <v>Errore</v>
      </c>
      <c r="D325" s="26" t="s">
        <v>531</v>
      </c>
      <c r="E325" s="26" t="s">
        <v>691</v>
      </c>
      <c r="F325" s="26" t="s">
        <v>582</v>
      </c>
      <c r="G325" s="26" t="s">
        <v>664</v>
      </c>
    </row>
    <row r="326" spans="1:7" x14ac:dyDescent="0.3">
      <c r="A326" s="169"/>
      <c r="C326" s="26" t="str">
        <f t="shared" si="11"/>
        <v>È necessario immettere valori compresi tra 0 e 9999.</v>
      </c>
      <c r="D326" s="26" t="s">
        <v>533</v>
      </c>
      <c r="E326" s="26" t="s">
        <v>725</v>
      </c>
      <c r="F326" s="26" t="s">
        <v>588</v>
      </c>
      <c r="G326" s="26" t="s">
        <v>769</v>
      </c>
    </row>
    <row r="327" spans="1:7" x14ac:dyDescent="0.3">
      <c r="A327" s="169">
        <v>3</v>
      </c>
      <c r="B327" s="26" t="s">
        <v>524</v>
      </c>
      <c r="C327" s="26" t="str">
        <f t="shared" si="11"/>
        <v>Numero</v>
      </c>
      <c r="D327" s="26" t="s">
        <v>63</v>
      </c>
      <c r="E327" s="26" t="s">
        <v>730</v>
      </c>
      <c r="F327" s="26" t="s">
        <v>619</v>
      </c>
      <c r="G327" s="26" t="s">
        <v>763</v>
      </c>
    </row>
    <row r="328" spans="1:7" x14ac:dyDescent="0.3">
      <c r="A328" s="169"/>
      <c r="C328" s="26" t="str">
        <f t="shared" si="11"/>
        <v>Immettere il numero totale di questo tipo di locale nell' edificio.</v>
      </c>
      <c r="D328" s="26" t="s">
        <v>513</v>
      </c>
      <c r="E328" s="26" t="s">
        <v>731</v>
      </c>
      <c r="F328" s="26" t="s">
        <v>620</v>
      </c>
      <c r="G328" s="26" t="s">
        <v>770</v>
      </c>
    </row>
    <row r="329" spans="1:7" x14ac:dyDescent="0.3">
      <c r="A329" s="169"/>
      <c r="C329" s="26" t="str">
        <f t="shared" si="11"/>
        <v>Errore</v>
      </c>
      <c r="D329" s="26" t="s">
        <v>531</v>
      </c>
      <c r="E329" s="26" t="s">
        <v>691</v>
      </c>
      <c r="F329" s="26" t="s">
        <v>582</v>
      </c>
      <c r="G329" s="26" t="s">
        <v>664</v>
      </c>
    </row>
    <row r="330" spans="1:7" x14ac:dyDescent="0.3">
      <c r="A330" s="169"/>
      <c r="C330" s="26" t="str">
        <f t="shared" si="11"/>
        <v>È necessario immettere valori compresi tra -99 e 999.</v>
      </c>
      <c r="D330" s="26" t="s">
        <v>772</v>
      </c>
      <c r="E330" s="26" t="s">
        <v>773</v>
      </c>
      <c r="F330" s="26" t="s">
        <v>774</v>
      </c>
      <c r="G330" s="26" t="s">
        <v>771</v>
      </c>
    </row>
    <row r="331" spans="1:7" x14ac:dyDescent="0.3">
      <c r="A331" s="169">
        <v>3</v>
      </c>
      <c r="B331" s="26" t="s">
        <v>525</v>
      </c>
      <c r="C331" s="26" t="str">
        <f t="shared" si="11"/>
        <v>Riflessione della stanza</v>
      </c>
      <c r="D331" s="26" t="s">
        <v>113</v>
      </c>
      <c r="E331" s="26" t="s">
        <v>733</v>
      </c>
      <c r="F331" s="26" t="s">
        <v>622</v>
      </c>
      <c r="G331" s="26" t="s">
        <v>762</v>
      </c>
    </row>
    <row r="332" spans="1:7" x14ac:dyDescent="0.3">
      <c r="A332" s="169"/>
      <c r="C332" s="26" t="str">
        <f t="shared" si="11"/>
        <v>Selezionare una voce dall' elenco.</v>
      </c>
      <c r="D332" s="26" t="s">
        <v>514</v>
      </c>
      <c r="E332" s="26" t="s">
        <v>734</v>
      </c>
      <c r="F332" s="26" t="s">
        <v>623</v>
      </c>
      <c r="G332" s="26" t="s">
        <v>758</v>
      </c>
    </row>
    <row r="333" spans="1:7" x14ac:dyDescent="0.3">
      <c r="A333" s="169"/>
      <c r="C333" s="26" t="str">
        <f t="shared" si="11"/>
        <v>Errore</v>
      </c>
      <c r="D333" s="26" t="s">
        <v>531</v>
      </c>
      <c r="E333" s="26" t="s">
        <v>691</v>
      </c>
      <c r="F333" s="26" t="s">
        <v>582</v>
      </c>
      <c r="G333" s="26" t="s">
        <v>664</v>
      </c>
    </row>
    <row r="334" spans="1:7" x14ac:dyDescent="0.3">
      <c r="A334" s="169"/>
      <c r="C334" s="26" t="str">
        <f t="shared" si="11"/>
        <v>È necessario selezionare una voce dall' elenco.</v>
      </c>
      <c r="D334" s="26" t="s">
        <v>43</v>
      </c>
      <c r="E334" s="26" t="s">
        <v>711</v>
      </c>
      <c r="F334" s="26" t="s">
        <v>602</v>
      </c>
      <c r="G334" s="26" t="s">
        <v>759</v>
      </c>
    </row>
    <row r="335" spans="1:7" x14ac:dyDescent="0.3">
      <c r="A335" s="169">
        <v>3</v>
      </c>
      <c r="B335" s="26" t="s">
        <v>526</v>
      </c>
      <c r="C335" s="26" t="str">
        <f t="shared" si="11"/>
        <v>Finestra Tipo</v>
      </c>
      <c r="D335" s="26" t="s">
        <v>515</v>
      </c>
      <c r="E335" s="26" t="s">
        <v>735</v>
      </c>
      <c r="F335" s="26" t="s">
        <v>624</v>
      </c>
      <c r="G335" s="26" t="s">
        <v>760</v>
      </c>
    </row>
    <row r="336" spans="1:7" x14ac:dyDescent="0.3">
      <c r="A336" s="169"/>
      <c r="C336" s="26" t="str">
        <f t="shared" si="11"/>
        <v>Selezionare uno dei tipi di finestra registrati nel foglio "Finestra".</v>
      </c>
      <c r="D336" s="26" t="str">
        <f>"Wählen Sie einen der im Blatt '"&amp;Texte!$C$247&amp;"' erfassten Fenstertypen."</f>
        <v>Wählen Sie einen der im Blatt 'Fenster' erfassten Fenstertypen.</v>
      </c>
      <c r="E336" s="26" t="s">
        <v>736</v>
      </c>
      <c r="F336" s="26" t="s">
        <v>625</v>
      </c>
      <c r="G336" s="26" t="s">
        <v>761</v>
      </c>
    </row>
    <row r="337" spans="1:7" x14ac:dyDescent="0.3">
      <c r="A337" s="169"/>
      <c r="C337" s="26" t="str">
        <f t="shared" si="11"/>
        <v>Errore</v>
      </c>
      <c r="D337" s="26" t="s">
        <v>531</v>
      </c>
      <c r="E337" s="26" t="s">
        <v>691</v>
      </c>
      <c r="F337" s="26" t="s">
        <v>582</v>
      </c>
      <c r="G337" s="26" t="s">
        <v>664</v>
      </c>
    </row>
    <row r="338" spans="1:7" x14ac:dyDescent="0.3">
      <c r="A338" s="169"/>
      <c r="C338" s="26" t="str">
        <f t="shared" si="11"/>
        <v>È necessario selezionare una voce dall' elenco.</v>
      </c>
      <c r="D338" s="26" t="s">
        <v>43</v>
      </c>
      <c r="E338" s="26" t="s">
        <v>711</v>
      </c>
      <c r="F338" s="26" t="s">
        <v>602</v>
      </c>
      <c r="G338" s="26" t="s">
        <v>759</v>
      </c>
    </row>
    <row r="339" spans="1:7" x14ac:dyDescent="0.3">
      <c r="A339" s="169">
        <v>3</v>
      </c>
      <c r="B339" s="26" t="s">
        <v>527</v>
      </c>
      <c r="C339" s="26" t="str">
        <f t="shared" si="11"/>
        <v>Numero</v>
      </c>
      <c r="D339" s="26" t="s">
        <v>63</v>
      </c>
      <c r="E339" s="26" t="s">
        <v>730</v>
      </c>
      <c r="F339" s="26" t="s">
        <v>619</v>
      </c>
      <c r="G339" s="26" t="s">
        <v>763</v>
      </c>
    </row>
    <row r="340" spans="1:7" x14ac:dyDescent="0.3">
      <c r="A340" s="169"/>
      <c r="C340" s="26" t="str">
        <f t="shared" si="11"/>
        <v>Immettere il numero totale di questo tipo di finestra.</v>
      </c>
      <c r="D340" s="26" t="s">
        <v>535</v>
      </c>
      <c r="E340" s="26" t="s">
        <v>737</v>
      </c>
      <c r="F340" s="26" t="s">
        <v>626</v>
      </c>
      <c r="G340" s="26" t="s">
        <v>775</v>
      </c>
    </row>
    <row r="341" spans="1:7" x14ac:dyDescent="0.3">
      <c r="A341" s="169"/>
      <c r="C341" s="26" t="str">
        <f t="shared" si="11"/>
        <v>Errore</v>
      </c>
      <c r="D341" s="26" t="s">
        <v>531</v>
      </c>
      <c r="E341" s="26" t="s">
        <v>691</v>
      </c>
      <c r="F341" s="26" t="s">
        <v>582</v>
      </c>
      <c r="G341" s="26" t="s">
        <v>664</v>
      </c>
    </row>
    <row r="342" spans="1:7" x14ac:dyDescent="0.3">
      <c r="A342" s="169"/>
      <c r="C342" s="26" t="str">
        <f t="shared" si="11"/>
        <v>È necessario immettere valori interi compresi tra 0 e 999.</v>
      </c>
      <c r="D342" s="26" t="s">
        <v>534</v>
      </c>
      <c r="E342" s="26" t="s">
        <v>732</v>
      </c>
      <c r="F342" s="26" t="s">
        <v>621</v>
      </c>
      <c r="G342" s="26" t="s">
        <v>669</v>
      </c>
    </row>
    <row r="343" spans="1:7" x14ac:dyDescent="0.3">
      <c r="A343" s="169">
        <v>3</v>
      </c>
      <c r="B343" s="26" t="s">
        <v>528</v>
      </c>
      <c r="C343" s="26" t="str">
        <f t="shared" si="11"/>
        <v>Finestra Tipo</v>
      </c>
      <c r="D343" s="26" t="s">
        <v>515</v>
      </c>
      <c r="E343" s="26" t="s">
        <v>735</v>
      </c>
      <c r="F343" s="26" t="s">
        <v>624</v>
      </c>
      <c r="G343" s="26" t="s">
        <v>760</v>
      </c>
    </row>
    <row r="344" spans="1:7" x14ac:dyDescent="0.3">
      <c r="A344" s="169"/>
      <c r="C344" s="26" t="str">
        <f t="shared" si="11"/>
        <v>Selezionare uno dei tipi di finestra registrati nel foglio "Finestra".</v>
      </c>
      <c r="D344" s="26" t="str">
        <f>"Wählen Sie einen der im Blatt '"&amp;Texte!$C$247&amp;"' erfassten Fenstertypen."</f>
        <v>Wählen Sie einen der im Blatt 'Fenster' erfassten Fenstertypen.</v>
      </c>
      <c r="E344" s="26" t="s">
        <v>736</v>
      </c>
      <c r="F344" s="26" t="s">
        <v>625</v>
      </c>
      <c r="G344" s="26" t="s">
        <v>761</v>
      </c>
    </row>
    <row r="345" spans="1:7" x14ac:dyDescent="0.3">
      <c r="A345" s="169"/>
      <c r="C345" s="26" t="str">
        <f t="shared" si="11"/>
        <v>Errore</v>
      </c>
      <c r="D345" s="26" t="s">
        <v>531</v>
      </c>
      <c r="E345" s="26" t="s">
        <v>691</v>
      </c>
      <c r="F345" s="26" t="s">
        <v>582</v>
      </c>
      <c r="G345" s="26" t="s">
        <v>664</v>
      </c>
    </row>
    <row r="346" spans="1:7" x14ac:dyDescent="0.3">
      <c r="A346" s="169"/>
      <c r="C346" s="26" t="str">
        <f t="shared" si="11"/>
        <v>È necessario selezionare una voce dall' elenco.</v>
      </c>
      <c r="D346" s="26" t="s">
        <v>43</v>
      </c>
      <c r="E346" s="26" t="s">
        <v>711</v>
      </c>
      <c r="F346" s="26" t="s">
        <v>602</v>
      </c>
      <c r="G346" s="26" t="s">
        <v>759</v>
      </c>
    </row>
    <row r="347" spans="1:7" x14ac:dyDescent="0.3">
      <c r="A347" s="169">
        <v>3</v>
      </c>
      <c r="B347" s="26" t="s">
        <v>529</v>
      </c>
      <c r="C347" s="26" t="str">
        <f t="shared" si="11"/>
        <v>Numero</v>
      </c>
      <c r="D347" s="26" t="s">
        <v>63</v>
      </c>
      <c r="E347" s="26" t="s">
        <v>730</v>
      </c>
      <c r="F347" s="26" t="s">
        <v>619</v>
      </c>
      <c r="G347" s="26" t="s">
        <v>763</v>
      </c>
    </row>
    <row r="348" spans="1:7" x14ac:dyDescent="0.3">
      <c r="A348" s="169"/>
      <c r="C348" s="26" t="str">
        <f t="shared" si="11"/>
        <v>Immettere il numero totale di questo tipo di finestra.</v>
      </c>
      <c r="D348" s="26" t="s">
        <v>535</v>
      </c>
      <c r="E348" s="26" t="s">
        <v>737</v>
      </c>
      <c r="F348" s="26" t="s">
        <v>626</v>
      </c>
      <c r="G348" s="26" t="s">
        <v>775</v>
      </c>
    </row>
    <row r="349" spans="1:7" x14ac:dyDescent="0.3">
      <c r="A349" s="169"/>
      <c r="C349" s="26" t="str">
        <f t="shared" si="11"/>
        <v>Errore</v>
      </c>
      <c r="D349" s="26" t="s">
        <v>531</v>
      </c>
      <c r="E349" s="26" t="s">
        <v>691</v>
      </c>
      <c r="F349" s="26" t="s">
        <v>582</v>
      </c>
      <c r="G349" s="26" t="s">
        <v>664</v>
      </c>
    </row>
    <row r="350" spans="1:7" x14ac:dyDescent="0.3">
      <c r="A350" s="169"/>
      <c r="C350" s="26" t="str">
        <f t="shared" si="11"/>
        <v>È necessario immettere valori interi compresi tra 0 e 999.</v>
      </c>
      <c r="D350" s="26" t="s">
        <v>534</v>
      </c>
      <c r="E350" s="26" t="s">
        <v>732</v>
      </c>
      <c r="F350" s="26" t="s">
        <v>621</v>
      </c>
      <c r="G350" s="26" t="s">
        <v>669</v>
      </c>
    </row>
    <row r="351" spans="1:7" x14ac:dyDescent="0.3">
      <c r="A351" s="169">
        <v>3</v>
      </c>
      <c r="B351" s="26" t="s">
        <v>536</v>
      </c>
      <c r="C351" s="26" t="str">
        <f t="shared" ref="C351:C378" si="12">INDEX($D351:$G351,1,MATCH(Sprachwahl,ListSprache,0))</f>
        <v>Finestra Tipo</v>
      </c>
      <c r="D351" s="26" t="s">
        <v>515</v>
      </c>
      <c r="E351" s="26" t="s">
        <v>735</v>
      </c>
      <c r="F351" s="26" t="s">
        <v>624</v>
      </c>
      <c r="G351" s="26" t="s">
        <v>760</v>
      </c>
    </row>
    <row r="352" spans="1:7" x14ac:dyDescent="0.3">
      <c r="A352" s="169"/>
      <c r="C352" s="26" t="str">
        <f t="shared" si="12"/>
        <v>Selezionare uno dei tipi di finestra registrati nel foglio "Finestra".</v>
      </c>
      <c r="D352" s="26" t="str">
        <f>"Wählen Sie einen der im Blatt '"&amp;Texte!$C$247&amp;"' erfassten Fenstertypen."</f>
        <v>Wählen Sie einen der im Blatt 'Fenster' erfassten Fenstertypen.</v>
      </c>
      <c r="E352" s="26" t="s">
        <v>736</v>
      </c>
      <c r="F352" s="26" t="s">
        <v>625</v>
      </c>
      <c r="G352" s="26" t="s">
        <v>761</v>
      </c>
    </row>
    <row r="353" spans="1:7" x14ac:dyDescent="0.3">
      <c r="A353" s="169"/>
      <c r="C353" s="26" t="str">
        <f t="shared" si="12"/>
        <v>Errore</v>
      </c>
      <c r="D353" s="26" t="s">
        <v>531</v>
      </c>
      <c r="E353" s="26" t="s">
        <v>691</v>
      </c>
      <c r="F353" s="26" t="s">
        <v>582</v>
      </c>
      <c r="G353" s="26" t="s">
        <v>664</v>
      </c>
    </row>
    <row r="354" spans="1:7" x14ac:dyDescent="0.3">
      <c r="A354" s="169"/>
      <c r="C354" s="26" t="str">
        <f t="shared" si="12"/>
        <v>È necessario selezionare una voce dall' elenco.</v>
      </c>
      <c r="D354" s="26" t="s">
        <v>43</v>
      </c>
      <c r="E354" s="26" t="s">
        <v>711</v>
      </c>
      <c r="F354" s="26" t="s">
        <v>602</v>
      </c>
      <c r="G354" s="26" t="s">
        <v>759</v>
      </c>
    </row>
    <row r="355" spans="1:7" x14ac:dyDescent="0.3">
      <c r="A355" s="169">
        <v>3</v>
      </c>
      <c r="B355" s="26" t="s">
        <v>537</v>
      </c>
      <c r="C355" s="26" t="str">
        <f t="shared" si="12"/>
        <v>Numero</v>
      </c>
      <c r="D355" s="26" t="s">
        <v>63</v>
      </c>
      <c r="E355" s="26" t="s">
        <v>730</v>
      </c>
      <c r="F355" s="26" t="s">
        <v>619</v>
      </c>
      <c r="G355" s="26" t="s">
        <v>763</v>
      </c>
    </row>
    <row r="356" spans="1:7" x14ac:dyDescent="0.3">
      <c r="A356" s="169"/>
      <c r="C356" s="26" t="str">
        <f t="shared" si="12"/>
        <v>Immettere il numero totale di questo tipo di finestra.</v>
      </c>
      <c r="D356" s="26" t="s">
        <v>535</v>
      </c>
      <c r="E356" s="26" t="s">
        <v>737</v>
      </c>
      <c r="F356" s="26" t="s">
        <v>626</v>
      </c>
      <c r="G356" s="26" t="s">
        <v>775</v>
      </c>
    </row>
    <row r="357" spans="1:7" x14ac:dyDescent="0.3">
      <c r="A357" s="169"/>
      <c r="C357" s="26" t="str">
        <f t="shared" si="12"/>
        <v>Errore</v>
      </c>
      <c r="D357" s="26" t="s">
        <v>531</v>
      </c>
      <c r="E357" s="26" t="s">
        <v>691</v>
      </c>
      <c r="F357" s="26" t="s">
        <v>582</v>
      </c>
      <c r="G357" s="26" t="s">
        <v>664</v>
      </c>
    </row>
    <row r="358" spans="1:7" x14ac:dyDescent="0.3">
      <c r="A358" s="169"/>
      <c r="C358" s="26" t="str">
        <f t="shared" si="12"/>
        <v>È necessario immettere valori interi compresi tra 0 e 999.</v>
      </c>
      <c r="D358" s="26" t="s">
        <v>534</v>
      </c>
      <c r="E358" s="26" t="s">
        <v>732</v>
      </c>
      <c r="F358" s="26" t="s">
        <v>621</v>
      </c>
      <c r="G358" s="26" t="s">
        <v>873</v>
      </c>
    </row>
    <row r="359" spans="1:7" x14ac:dyDescent="0.3">
      <c r="A359" s="169">
        <v>3</v>
      </c>
      <c r="B359" s="26" t="s">
        <v>538</v>
      </c>
      <c r="C359" s="26" t="str">
        <f t="shared" si="12"/>
        <v>Finestra Tipo</v>
      </c>
      <c r="D359" s="26" t="s">
        <v>515</v>
      </c>
      <c r="E359" s="26" t="s">
        <v>735</v>
      </c>
      <c r="F359" s="26" t="s">
        <v>624</v>
      </c>
      <c r="G359" s="26" t="s">
        <v>760</v>
      </c>
    </row>
    <row r="360" spans="1:7" x14ac:dyDescent="0.3">
      <c r="A360" s="169"/>
      <c r="C360" s="26" t="str">
        <f t="shared" si="12"/>
        <v>Selezionare uno dei tipi di finestra registrati nel foglio "Finestra".</v>
      </c>
      <c r="D360" s="26" t="str">
        <f>"Wählen Sie einen der im Blatt '"&amp;Texte!$C$247&amp;"' erfassten Fenstertypen."</f>
        <v>Wählen Sie einen der im Blatt 'Fenster' erfassten Fenstertypen.</v>
      </c>
      <c r="E360" s="26" t="s">
        <v>736</v>
      </c>
      <c r="F360" s="26" t="s">
        <v>625</v>
      </c>
      <c r="G360" s="26" t="s">
        <v>761</v>
      </c>
    </row>
    <row r="361" spans="1:7" x14ac:dyDescent="0.3">
      <c r="A361" s="169"/>
      <c r="C361" s="26" t="str">
        <f t="shared" si="12"/>
        <v>Errore</v>
      </c>
      <c r="D361" s="26" t="s">
        <v>531</v>
      </c>
      <c r="E361" s="26" t="s">
        <v>691</v>
      </c>
      <c r="F361" s="26" t="s">
        <v>582</v>
      </c>
      <c r="G361" s="26" t="s">
        <v>664</v>
      </c>
    </row>
    <row r="362" spans="1:7" x14ac:dyDescent="0.3">
      <c r="A362" s="169"/>
      <c r="C362" s="26" t="str">
        <f t="shared" si="12"/>
        <v>È necessario selezionare una voce dall' elenco.</v>
      </c>
      <c r="D362" s="26" t="s">
        <v>43</v>
      </c>
      <c r="E362" s="26" t="s">
        <v>711</v>
      </c>
      <c r="F362" s="26" t="s">
        <v>602</v>
      </c>
      <c r="G362" s="26" t="s">
        <v>759</v>
      </c>
    </row>
    <row r="363" spans="1:7" x14ac:dyDescent="0.3">
      <c r="A363" s="169">
        <v>3</v>
      </c>
      <c r="B363" s="26" t="s">
        <v>539</v>
      </c>
      <c r="C363" s="26" t="str">
        <f t="shared" si="12"/>
        <v>Numero</v>
      </c>
      <c r="D363" s="26" t="s">
        <v>63</v>
      </c>
      <c r="E363" s="26" t="s">
        <v>730</v>
      </c>
      <c r="F363" s="26" t="s">
        <v>619</v>
      </c>
      <c r="G363" s="26" t="s">
        <v>763</v>
      </c>
    </row>
    <row r="364" spans="1:7" x14ac:dyDescent="0.3">
      <c r="A364" s="169"/>
      <c r="C364" s="26" t="str">
        <f t="shared" si="12"/>
        <v>Immettere il numero totale di questo tipo di finestra.</v>
      </c>
      <c r="D364" s="26" t="s">
        <v>535</v>
      </c>
      <c r="E364" s="26" t="s">
        <v>737</v>
      </c>
      <c r="F364" s="26" t="s">
        <v>626</v>
      </c>
      <c r="G364" s="26" t="s">
        <v>775</v>
      </c>
    </row>
    <row r="365" spans="1:7" x14ac:dyDescent="0.3">
      <c r="A365" s="169"/>
      <c r="C365" s="26" t="str">
        <f t="shared" si="12"/>
        <v>Errore</v>
      </c>
      <c r="D365" s="26" t="s">
        <v>531</v>
      </c>
      <c r="E365" s="26" t="s">
        <v>691</v>
      </c>
      <c r="F365" s="26" t="s">
        <v>582</v>
      </c>
      <c r="G365" s="26" t="s">
        <v>664</v>
      </c>
    </row>
    <row r="366" spans="1:7" x14ac:dyDescent="0.3">
      <c r="A366" s="169"/>
      <c r="C366" s="26" t="str">
        <f t="shared" si="12"/>
        <v>È necessario immettere valori interi compresi tra 0 e 999.</v>
      </c>
      <c r="D366" s="26" t="s">
        <v>534</v>
      </c>
      <c r="E366" s="26" t="s">
        <v>732</v>
      </c>
      <c r="F366" s="26" t="s">
        <v>621</v>
      </c>
      <c r="G366" s="26" t="s">
        <v>669</v>
      </c>
    </row>
    <row r="367" spans="1:7" x14ac:dyDescent="0.3">
      <c r="A367" s="210">
        <v>4</v>
      </c>
      <c r="B367" s="26" t="s">
        <v>519</v>
      </c>
      <c r="C367" s="26" t="str">
        <f t="shared" si="12"/>
        <v>Profondità dell'area usata</v>
      </c>
      <c r="D367" s="26" t="s">
        <v>862</v>
      </c>
      <c r="E367" s="26" t="s">
        <v>904</v>
      </c>
      <c r="F367" s="26" t="s">
        <v>830</v>
      </c>
      <c r="G367" s="26" t="s">
        <v>832</v>
      </c>
    </row>
    <row r="368" spans="1:7" x14ac:dyDescent="0.3">
      <c r="A368" s="210"/>
      <c r="C368" s="26" t="str">
        <f t="shared" si="12"/>
        <v>Immettere la profondità delle aree utilizzate in permanenza dalle persone (misurata dalla facciata).</v>
      </c>
      <c r="D368" s="26" t="s">
        <v>863</v>
      </c>
      <c r="E368" s="26" t="s">
        <v>875</v>
      </c>
      <c r="F368" s="26" t="s">
        <v>874</v>
      </c>
      <c r="G368" s="26" t="s">
        <v>876</v>
      </c>
    </row>
    <row r="369" spans="1:7" x14ac:dyDescent="0.3">
      <c r="A369" s="210"/>
      <c r="C369" s="26" t="str">
        <f t="shared" si="12"/>
        <v>Errore</v>
      </c>
      <c r="D369" s="26" t="s">
        <v>531</v>
      </c>
      <c r="E369" s="26" t="s">
        <v>691</v>
      </c>
      <c r="F369" s="26" t="s">
        <v>582</v>
      </c>
      <c r="G369" s="26" t="s">
        <v>664</v>
      </c>
    </row>
    <row r="370" spans="1:7" x14ac:dyDescent="0.3">
      <c r="A370" s="210"/>
      <c r="C370" s="26" t="str">
        <f t="shared" si="12"/>
        <v>È necessario immettere valori compresi tra 0 e 999.</v>
      </c>
      <c r="D370" s="26" t="s">
        <v>559</v>
      </c>
      <c r="E370" s="26" t="s">
        <v>697</v>
      </c>
      <c r="F370" s="26" t="s">
        <v>752</v>
      </c>
      <c r="G370" s="26" t="s">
        <v>669</v>
      </c>
    </row>
    <row r="371" spans="1:7" x14ac:dyDescent="0.3">
      <c r="A371" s="210">
        <v>4</v>
      </c>
      <c r="B371" s="26" t="s">
        <v>520</v>
      </c>
      <c r="C371" s="26" t="str">
        <f t="shared" si="12"/>
        <v>Raggio visivo</v>
      </c>
      <c r="D371" s="26" t="s">
        <v>864</v>
      </c>
      <c r="E371" s="217" t="s">
        <v>989</v>
      </c>
      <c r="F371" s="26" t="s">
        <v>835</v>
      </c>
      <c r="G371" s="26" t="s">
        <v>834</v>
      </c>
    </row>
    <row r="372" spans="1:7" x14ac:dyDescent="0.3">
      <c r="A372" s="210"/>
      <c r="C372" s="26" t="str">
        <f t="shared" si="12"/>
        <v>Immettere la distanza dall'oggetto successivo (misurata dalla facciata).</v>
      </c>
      <c r="D372" s="26" t="s">
        <v>865</v>
      </c>
      <c r="E372" s="217" t="s">
        <v>990</v>
      </c>
      <c r="F372" s="26" t="s">
        <v>872</v>
      </c>
      <c r="G372" s="26" t="s">
        <v>871</v>
      </c>
    </row>
    <row r="373" spans="1:7" x14ac:dyDescent="0.3">
      <c r="A373" s="210"/>
      <c r="C373" s="26" t="str">
        <f t="shared" si="12"/>
        <v>Errore</v>
      </c>
      <c r="D373" s="26" t="s">
        <v>531</v>
      </c>
      <c r="E373" s="26" t="s">
        <v>691</v>
      </c>
      <c r="F373" s="26" t="s">
        <v>582</v>
      </c>
      <c r="G373" s="26" t="s">
        <v>664</v>
      </c>
    </row>
    <row r="374" spans="1:7" x14ac:dyDescent="0.3">
      <c r="A374" s="210"/>
      <c r="C374" s="26" t="str">
        <f t="shared" si="12"/>
        <v>È necessario immettere valori interi compresi tra 0 e 999.</v>
      </c>
      <c r="D374" s="26" t="s">
        <v>866</v>
      </c>
      <c r="E374" s="26" t="s">
        <v>732</v>
      </c>
      <c r="F374" s="26" t="s">
        <v>621</v>
      </c>
      <c r="G374" s="26" t="s">
        <v>873</v>
      </c>
    </row>
    <row r="375" spans="1:7" x14ac:dyDescent="0.3">
      <c r="A375" s="210">
        <v>4</v>
      </c>
      <c r="B375" s="26" t="s">
        <v>521</v>
      </c>
      <c r="C375" s="26" t="str">
        <f t="shared" si="12"/>
        <v>Livelli di visione</v>
      </c>
      <c r="D375" s="26" t="s">
        <v>790</v>
      </c>
      <c r="E375" s="26" t="s">
        <v>868</v>
      </c>
      <c r="F375" s="26" t="s">
        <v>869</v>
      </c>
      <c r="G375" s="26" t="s">
        <v>870</v>
      </c>
    </row>
    <row r="376" spans="1:7" x14ac:dyDescent="0.3">
      <c r="A376" s="210"/>
      <c r="C376" s="26" t="str">
        <f t="shared" si="12"/>
        <v>Selezionare i livelli visibili dal punto più lontano ad un'altezza di 1,2 metri (attività da seduti) o 1,7 metri (attività in piedi) quando si guarda attraverso la finestra.</v>
      </c>
      <c r="D376" s="26" t="s">
        <v>867</v>
      </c>
      <c r="E376" s="26" t="s">
        <v>879</v>
      </c>
      <c r="F376" s="26" t="s">
        <v>878</v>
      </c>
      <c r="G376" s="26" t="s">
        <v>877</v>
      </c>
    </row>
    <row r="377" spans="1:7" x14ac:dyDescent="0.3">
      <c r="A377" s="210"/>
      <c r="C377" s="26" t="str">
        <f t="shared" si="12"/>
        <v>Errore</v>
      </c>
      <c r="D377" s="26" t="s">
        <v>531</v>
      </c>
      <c r="E377" s="26" t="s">
        <v>691</v>
      </c>
      <c r="F377" s="26" t="s">
        <v>582</v>
      </c>
      <c r="G377" s="26" t="s">
        <v>664</v>
      </c>
    </row>
    <row r="378" spans="1:7" x14ac:dyDescent="0.3">
      <c r="A378" s="210"/>
      <c r="C378" s="26" t="str">
        <f t="shared" si="12"/>
        <v>È necessario selezionare una voce dall' elenco.</v>
      </c>
      <c r="D378" s="26" t="s">
        <v>43</v>
      </c>
      <c r="E378" s="26" t="s">
        <v>711</v>
      </c>
      <c r="F378" s="26" t="s">
        <v>602</v>
      </c>
      <c r="G378" s="26" t="s">
        <v>759</v>
      </c>
    </row>
  </sheetData>
  <sheetProtection algorithmName="SHA-512" hashValue="mRY/tje4Wi4PsdXb8WFqXQjvfz4VsgbbJu2dOHhUZcr7anuJxb8aO2p2xEq7csrnwvv2EqOEoBDBWqyzH2M7Xw==" saltValue="bs7qFahwi16saWVZbN35PQ==" spinCount="100000" sheet="1" objects="1" scenarios="1"/>
  <hyperlinks>
    <hyperlink ref="F232" r:id="rId1" display="https://www.linguee.de/deutsch-englisch/uebersetzung/Restaurants.html" xr:uid="{1583C7CA-8D89-4663-B1CF-77F0521F2EED}"/>
  </hyperlinks>
  <pageMargins left="0.7" right="0.7" top="0.78740157499999996" bottom="0.78740157499999996" header="0.3" footer="0.3"/>
  <pageSetup paperSize="9" orientation="portrait"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/>
  <dimension ref="A1:D31"/>
  <sheetViews>
    <sheetView workbookViewId="0"/>
  </sheetViews>
  <sheetFormatPr baseColWidth="10" defaultRowHeight="15" x14ac:dyDescent="0.35"/>
  <cols>
    <col min="1" max="1" width="11.0625" style="218"/>
    <col min="2" max="2" width="73.25" customWidth="1"/>
    <col min="3" max="4" width="11.0625" style="218"/>
  </cols>
  <sheetData>
    <row r="1" spans="1:4" ht="22.3" x14ac:dyDescent="0.5">
      <c r="A1" s="224" t="s">
        <v>893</v>
      </c>
    </row>
    <row r="2" spans="1:4" x14ac:dyDescent="0.35">
      <c r="A2" s="225"/>
    </row>
    <row r="3" spans="1:4" x14ac:dyDescent="0.35">
      <c r="A3" s="219" t="s">
        <v>894</v>
      </c>
      <c r="B3" s="37" t="s">
        <v>895</v>
      </c>
      <c r="C3" s="219" t="s">
        <v>896</v>
      </c>
      <c r="D3" s="219" t="s">
        <v>897</v>
      </c>
    </row>
    <row r="4" spans="1:4" x14ac:dyDescent="0.35">
      <c r="A4" s="222">
        <v>2.0099999999999998</v>
      </c>
      <c r="B4" s="19" t="s">
        <v>898</v>
      </c>
      <c r="C4" s="220">
        <v>43106</v>
      </c>
      <c r="D4" s="221" t="s">
        <v>946</v>
      </c>
    </row>
    <row r="5" spans="1:4" x14ac:dyDescent="0.35">
      <c r="A5" s="222">
        <v>2.1</v>
      </c>
      <c r="B5" s="19" t="s">
        <v>899</v>
      </c>
      <c r="C5" s="220">
        <v>43830</v>
      </c>
      <c r="D5" s="221" t="s">
        <v>946</v>
      </c>
    </row>
    <row r="6" spans="1:4" x14ac:dyDescent="0.35">
      <c r="A6" s="222">
        <v>2.11</v>
      </c>
      <c r="B6" s="19" t="s">
        <v>905</v>
      </c>
      <c r="C6" s="220">
        <v>44221</v>
      </c>
      <c r="D6" s="221" t="s">
        <v>946</v>
      </c>
    </row>
    <row r="7" spans="1:4" x14ac:dyDescent="0.35">
      <c r="A7" s="222">
        <v>2.12</v>
      </c>
      <c r="B7" s="19" t="s">
        <v>910</v>
      </c>
      <c r="C7" s="220">
        <v>45183</v>
      </c>
      <c r="D7" s="221" t="s">
        <v>946</v>
      </c>
    </row>
    <row r="8" spans="1:4" x14ac:dyDescent="0.35">
      <c r="A8" s="232">
        <v>2023.1</v>
      </c>
      <c r="B8" s="19" t="s">
        <v>944</v>
      </c>
      <c r="C8" s="220">
        <v>45218</v>
      </c>
      <c r="D8" s="221" t="s">
        <v>931</v>
      </c>
    </row>
    <row r="9" spans="1:4" x14ac:dyDescent="0.35">
      <c r="A9" s="232">
        <v>2023.1</v>
      </c>
      <c r="B9" s="19" t="s">
        <v>947</v>
      </c>
      <c r="C9" s="220">
        <v>45230</v>
      </c>
      <c r="D9" s="221" t="s">
        <v>931</v>
      </c>
    </row>
    <row r="10" spans="1:4" x14ac:dyDescent="0.35">
      <c r="A10" s="232">
        <v>2023.1</v>
      </c>
      <c r="B10" s="19" t="s">
        <v>945</v>
      </c>
      <c r="C10" s="220">
        <v>45238</v>
      </c>
      <c r="D10" s="221" t="s">
        <v>931</v>
      </c>
    </row>
    <row r="11" spans="1:4" x14ac:dyDescent="0.35">
      <c r="A11" s="222">
        <v>2.13</v>
      </c>
      <c r="B11" s="19" t="s">
        <v>914</v>
      </c>
      <c r="C11" s="220">
        <v>45407</v>
      </c>
      <c r="D11" s="221" t="s">
        <v>946</v>
      </c>
    </row>
    <row r="12" spans="1:4" x14ac:dyDescent="0.35">
      <c r="A12" s="231">
        <v>2023.2</v>
      </c>
      <c r="B12" s="19" t="s">
        <v>1018</v>
      </c>
      <c r="C12" s="220">
        <v>45618</v>
      </c>
      <c r="D12" s="221" t="s">
        <v>931</v>
      </c>
    </row>
    <row r="13" spans="1:4" x14ac:dyDescent="0.35">
      <c r="A13" s="231">
        <v>2023.2</v>
      </c>
      <c r="B13" s="19" t="s">
        <v>1042</v>
      </c>
      <c r="C13" s="220">
        <v>45629</v>
      </c>
      <c r="D13" s="221" t="s">
        <v>931</v>
      </c>
    </row>
    <row r="14" spans="1:4" x14ac:dyDescent="0.35">
      <c r="A14" s="231"/>
      <c r="B14" s="19"/>
      <c r="C14" s="220"/>
      <c r="D14" s="221"/>
    </row>
    <row r="15" spans="1:4" x14ac:dyDescent="0.35">
      <c r="A15" s="231"/>
      <c r="B15" s="19"/>
      <c r="C15" s="220"/>
      <c r="D15" s="221"/>
    </row>
    <row r="16" spans="1:4" x14ac:dyDescent="0.35">
      <c r="A16" s="231"/>
      <c r="B16" s="19"/>
      <c r="C16" s="220"/>
      <c r="D16" s="221"/>
    </row>
    <row r="17" spans="1:4" x14ac:dyDescent="0.35">
      <c r="A17" s="231"/>
      <c r="B17" s="19"/>
      <c r="C17" s="220"/>
      <c r="D17" s="221"/>
    </row>
    <row r="18" spans="1:4" x14ac:dyDescent="0.35">
      <c r="A18" s="231"/>
      <c r="B18" s="19"/>
      <c r="C18" s="220"/>
      <c r="D18" s="221"/>
    </row>
    <row r="19" spans="1:4" x14ac:dyDescent="0.35">
      <c r="A19" s="231"/>
      <c r="B19" s="19"/>
      <c r="C19" s="220"/>
      <c r="D19" s="221"/>
    </row>
    <row r="20" spans="1:4" x14ac:dyDescent="0.35">
      <c r="A20" s="231"/>
      <c r="B20" s="19"/>
      <c r="C20" s="220"/>
      <c r="D20" s="221"/>
    </row>
    <row r="21" spans="1:4" x14ac:dyDescent="0.35">
      <c r="A21" s="231"/>
      <c r="B21" s="19"/>
      <c r="C21" s="220"/>
      <c r="D21" s="221"/>
    </row>
    <row r="22" spans="1:4" x14ac:dyDescent="0.35">
      <c r="A22" s="231"/>
      <c r="B22" s="19"/>
      <c r="C22" s="220"/>
      <c r="D22" s="221"/>
    </row>
    <row r="23" spans="1:4" x14ac:dyDescent="0.35">
      <c r="A23" s="231"/>
      <c r="B23" s="19"/>
      <c r="C23" s="220"/>
      <c r="D23" s="221"/>
    </row>
    <row r="24" spans="1:4" x14ac:dyDescent="0.35">
      <c r="A24" s="231"/>
      <c r="B24" s="19"/>
      <c r="C24" s="220"/>
      <c r="D24" s="221"/>
    </row>
    <row r="25" spans="1:4" x14ac:dyDescent="0.35">
      <c r="A25" s="231"/>
      <c r="B25" s="19"/>
      <c r="C25" s="220"/>
      <c r="D25" s="221"/>
    </row>
    <row r="26" spans="1:4" x14ac:dyDescent="0.35">
      <c r="A26" s="231"/>
      <c r="B26" s="19"/>
      <c r="C26" s="220"/>
      <c r="D26" s="221"/>
    </row>
    <row r="27" spans="1:4" x14ac:dyDescent="0.35">
      <c r="A27" s="231"/>
      <c r="B27" s="19"/>
      <c r="C27" s="220"/>
      <c r="D27" s="221"/>
    </row>
    <row r="28" spans="1:4" x14ac:dyDescent="0.35">
      <c r="A28" s="231"/>
      <c r="B28" s="19"/>
      <c r="C28" s="220"/>
      <c r="D28" s="221"/>
    </row>
    <row r="29" spans="1:4" x14ac:dyDescent="0.35">
      <c r="A29" s="231"/>
      <c r="B29" s="19"/>
      <c r="C29" s="220"/>
      <c r="D29" s="221"/>
    </row>
    <row r="30" spans="1:4" x14ac:dyDescent="0.35">
      <c r="A30" s="231"/>
      <c r="B30" s="19"/>
      <c r="C30" s="220"/>
      <c r="D30" s="221"/>
    </row>
    <row r="31" spans="1:4" x14ac:dyDescent="0.35">
      <c r="A31" s="223" cm="1">
        <f t="array" ref="A31">_xlfn.SINGLE(INDEX($A$4:$A$30,SUMPRODUCT(MAX(($A$4:$A$30&lt;&gt;"")*ROW($A$4:$A$30)))-3,1))</f>
        <v>2023.2</v>
      </c>
      <c r="B31" s="37"/>
      <c r="C31" s="219"/>
      <c r="D31" s="219"/>
    </row>
  </sheetData>
  <sheetProtection algorithmName="SHA-512" hashValue="Uvr0b3XjP4utScDPYjscmfVpGzjmo+q9yXUXvTHnhfeh/pNg/rkPnIt5uKWHzooLwlNt4VzhQ9r5mxachdc67w==" saltValue="L4nNRUdZxsbWAJ14Czn46A==" spinCount="100000" sheet="1" objects="1" scenarios="1"/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21CFC628C8AF54D8914200001F2C70D" ma:contentTypeVersion="15" ma:contentTypeDescription="Create a new document." ma:contentTypeScope="" ma:versionID="fbd0640b3d306804672d321c1ab9023d">
  <xsd:schema xmlns:xsd="http://www.w3.org/2001/XMLSchema" xmlns:xs="http://www.w3.org/2001/XMLSchema" xmlns:p="http://schemas.microsoft.com/office/2006/metadata/properties" xmlns:ns2="19415a2c-3045-4769-8042-b2d573daa356" xmlns:ns3="f9ded8a6-640d-4e2b-81aa-3f415abfbf2d" targetNamespace="http://schemas.microsoft.com/office/2006/metadata/properties" ma:root="true" ma:fieldsID="f584a69666580f70eee65f3c3a94f408" ns2:_="" ns3:_="">
    <xsd:import namespace="19415a2c-3045-4769-8042-b2d573daa356"/>
    <xsd:import namespace="f9ded8a6-640d-4e2b-81aa-3f415abfbf2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2:SharedWithUsers" minOccurs="0"/>
                <xsd:element ref="ns2:SharedWithDetails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415a2c-3045-4769-8042-b2d573daa35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7" nillable="true" ma:displayName="Taxonomy Catch All Column" ma:hidden="true" ma:list="{c27ef632-850c-4879-9790-cfc821f43517}" ma:internalName="TaxCatchAll" ma:showField="CatchAllData" ma:web="19415a2c-3045-4769-8042-b2d573daa35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ded8a6-640d-4e2b-81aa-3f415abfbf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a2125980-255a-4cd1-b09b-d6884cbb769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9ded8a6-640d-4e2b-81aa-3f415abfbf2d">
      <Terms xmlns="http://schemas.microsoft.com/office/infopath/2007/PartnerControls"/>
    </lcf76f155ced4ddcb4097134ff3c332f>
    <TaxCatchAll xmlns="19415a2c-3045-4769-8042-b2d573daa356" xsi:nil="true"/>
    <_dlc_DocId xmlns="19415a2c-3045-4769-8042-b2d573daa356">SKCW24DMUQ4M-227545371-611707</_dlc_DocId>
    <_dlc_DocIdUrl xmlns="19415a2c-3045-4769-8042-b2d573daa356">
      <Url>https://mst239701.sharepoint.com/sites/Files/_layouts/15/DocIdRedir.aspx?ID=SKCW24DMUQ4M-227545371-611707</Url>
      <Description>SKCW24DMUQ4M-227545371-611707</Description>
    </_dlc_DocIdUrl>
  </documentManagement>
</p:properties>
</file>

<file path=customXml/itemProps1.xml><?xml version="1.0" encoding="utf-8"?>
<ds:datastoreItem xmlns:ds="http://schemas.openxmlformats.org/officeDocument/2006/customXml" ds:itemID="{0693BF64-E4EA-4475-9DDD-C681C7C470F0}"/>
</file>

<file path=customXml/itemProps2.xml><?xml version="1.0" encoding="utf-8"?>
<ds:datastoreItem xmlns:ds="http://schemas.openxmlformats.org/officeDocument/2006/customXml" ds:itemID="{C5FD88BA-F17F-41D3-8ED6-3D0636ECB05D}"/>
</file>

<file path=customXml/itemProps3.xml><?xml version="1.0" encoding="utf-8"?>
<ds:datastoreItem xmlns:ds="http://schemas.openxmlformats.org/officeDocument/2006/customXml" ds:itemID="{EBD8DC3F-5D39-4185-87F6-5FF8496B4046}"/>
</file>

<file path=customXml/itemProps4.xml><?xml version="1.0" encoding="utf-8"?>
<ds:datastoreItem xmlns:ds="http://schemas.openxmlformats.org/officeDocument/2006/customXml" ds:itemID="{9DCD1C03-5149-4C20-9AC4-D24DD1C5DDEC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56</vt:i4>
      </vt:variant>
    </vt:vector>
  </HeadingPairs>
  <TitlesOfParts>
    <vt:vector size="64" baseType="lpstr">
      <vt:lpstr>Riassunto</vt:lpstr>
      <vt:lpstr>Finestre</vt:lpstr>
      <vt:lpstr>Illuminazione_naturale</vt:lpstr>
      <vt:lpstr>Prospettive</vt:lpstr>
      <vt:lpstr>Questionario_ammodernamento</vt:lpstr>
      <vt:lpstr>Constants</vt:lpstr>
      <vt:lpstr>Texte</vt:lpstr>
      <vt:lpstr>Versionierung</vt:lpstr>
      <vt:lpstr>Antwort_simp</vt:lpstr>
      <vt:lpstr>Bauvorhaben</vt:lpstr>
      <vt:lpstr>Befriedigend</vt:lpstr>
      <vt:lpstr>Finestre!Druckbereich</vt:lpstr>
      <vt:lpstr>Illuminazione_naturale!Druckbereich</vt:lpstr>
      <vt:lpstr>Prospettive!Druckbereich</vt:lpstr>
      <vt:lpstr>Questionario_ammodernamento!Druckbereich</vt:lpstr>
      <vt:lpstr>Riassunto!Druckbereich</vt:lpstr>
      <vt:lpstr>Druckbereich</vt:lpstr>
      <vt:lpstr>Illuminazione_naturale!Drucktitel</vt:lpstr>
      <vt:lpstr>Erneuerung</vt:lpstr>
      <vt:lpstr>Gut</vt:lpstr>
      <vt:lpstr>Ja</vt:lpstr>
      <vt:lpstr>JaNein</vt:lpstr>
      <vt:lpstr>ListAussicht</vt:lpstr>
      <vt:lpstr>ListAussichtQ</vt:lpstr>
      <vt:lpstr>ListBauvorhaben</vt:lpstr>
      <vt:lpstr>ListBeleuchtung</vt:lpstr>
      <vt:lpstr>ListHorizont</vt:lpstr>
      <vt:lpstr>ListNutzung</vt:lpstr>
      <vt:lpstr>ListOrientierung</vt:lpstr>
      <vt:lpstr>ListRaumReflex</vt:lpstr>
      <vt:lpstr>ListSoControl</vt:lpstr>
      <vt:lpstr>ListSoSchu</vt:lpstr>
      <vt:lpstr>ListSprache</vt:lpstr>
      <vt:lpstr>MatrixAussicht</vt:lpstr>
      <vt:lpstr>MatrixBauvorhaben</vt:lpstr>
      <vt:lpstr>MatrixBeleuchtung</vt:lpstr>
      <vt:lpstr>MatrixHorizont</vt:lpstr>
      <vt:lpstr>MatrixNutzung</vt:lpstr>
      <vt:lpstr>MatrixRaumReflex</vt:lpstr>
      <vt:lpstr>MatrixSoControl</vt:lpstr>
      <vt:lpstr>MatrixSoSchu</vt:lpstr>
      <vt:lpstr>MatrixTexteT1</vt:lpstr>
      <vt:lpstr>MatrixTexteT2</vt:lpstr>
      <vt:lpstr>MatrixTexteT3</vt:lpstr>
      <vt:lpstr>MatrixTexteT4</vt:lpstr>
      <vt:lpstr>MatrixTexteT5</vt:lpstr>
      <vt:lpstr>MatrixWindow</vt:lpstr>
      <vt:lpstr>MaxUFläche</vt:lpstr>
      <vt:lpstr>Mindesterfüllung</vt:lpstr>
      <vt:lpstr>Nein</vt:lpstr>
      <vt:lpstr>Neubau</vt:lpstr>
      <vt:lpstr>Nutzung</vt:lpstr>
      <vt:lpstr>Password</vt:lpstr>
      <vt:lpstr>Projektbez</vt:lpstr>
      <vt:lpstr>Renovationsfaktor</vt:lpstr>
      <vt:lpstr>SheetDaylight</vt:lpstr>
      <vt:lpstr>SheetOverview</vt:lpstr>
      <vt:lpstr>SheetQuestionaire</vt:lpstr>
      <vt:lpstr>SheetViews</vt:lpstr>
      <vt:lpstr>SheetWindow</vt:lpstr>
      <vt:lpstr>Sprachwahl</vt:lpstr>
      <vt:lpstr>SummeRaumflaeche</vt:lpstr>
      <vt:lpstr>Version</vt:lpstr>
      <vt:lpstr>VersionNr</vt:lpstr>
    </vt:vector>
  </TitlesOfParts>
  <Company>eTeam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Stefan Gasser</dc:creator>
  <cp:lastModifiedBy>Basil Monkewitz</cp:lastModifiedBy>
  <cp:lastPrinted>2024-12-03T08:57:52Z</cp:lastPrinted>
  <dcterms:created xsi:type="dcterms:W3CDTF">1999-01-20T17:37:13Z</dcterms:created>
  <dcterms:modified xsi:type="dcterms:W3CDTF">2024-12-03T14:45:08Z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0x010100B21CFC628C8AF54D8914200001F2C70D</vt:lpwstr>
  </property>
  <property fmtid="{D5CDD505-2E9C-101B-9397-08002B2CF9AE}" pid="3" name="_dlc_DocIdItemGuid">
    <vt:lpwstr>57bf3a02-ba02-40bc-b081-658b68e96ae9</vt:lpwstr>
  </property>
</Properties>
</file>