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trlProps/ctrlProp7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6.xml" ContentType="application/vnd.ms-excel.controlproperties+xml"/>
  <Override PartName="/xl/ctrlProps/ctrlProp5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Basil Monkewitz\Nextcloud\ecobau\05_Instrumente\04_Zusatz_ECO\03_Hilfsmittel\04_Tageslicht-Tool\Tageslicht-Tool\"/>
    </mc:Choice>
  </mc:AlternateContent>
  <xr:revisionPtr revIDLastSave="0" documentId="13_ncr:1_{B836E7FF-F438-40B1-8CBC-180D5D54AFB9}" xr6:coauthVersionLast="47" xr6:coauthVersionMax="47" xr10:uidLastSave="{00000000-0000-0000-0000-000000000000}"/>
  <workbookProtection workbookAlgorithmName="SHA-512" workbookHashValue="jJW0DyMcCfVK4Zhw3p22UxQejAgvXko9ZI0ChK9Yt2AExx5fo8ENqeMMyugkB2XdKrrDxTNZ72Ffs+uIcPT+Jg==" workbookSaltValue="EHLhqdEDPCxnkeCLPh1VpA==" workbookSpinCount="100000" lockStructure="1"/>
  <bookViews>
    <workbookView xWindow="471" yWindow="309" windowWidth="31458" windowHeight="17185" xr2:uid="{00000000-000D-0000-FFFF-FFFF00000000}"/>
  </bookViews>
  <sheets>
    <sheet name="Résumé" sheetId="12" r:id="rId1"/>
    <sheet name="Fenêtres" sheetId="29" r:id="rId2"/>
    <sheet name="Lumière_du_jour" sheetId="18" r:id="rId3"/>
    <sheet name="Vues" sheetId="32" r:id="rId4"/>
    <sheet name="Questionnaire_rénovation" sheetId="28" r:id="rId5"/>
    <sheet name="Constants" sheetId="27" state="hidden" r:id="rId6"/>
    <sheet name="Texte" sheetId="31" state="hidden" r:id="rId7"/>
    <sheet name="Versionierung" sheetId="33" state="hidden" r:id="rId8"/>
  </sheets>
  <definedNames>
    <definedName name="_xlnm._FilterDatabase" localSheetId="2" hidden="1">Lumière_du_jour!#REF!</definedName>
    <definedName name="Antwort_simp">Questionnaire_rénovation!$A$19</definedName>
    <definedName name="Bauvorhaben">Résumé!$B$8</definedName>
    <definedName name="Befriedigend">Constants!$C$108</definedName>
    <definedName name="_xlnm.Print_Area" localSheetId="1">Fenêtres!$A$1:$M$39</definedName>
    <definedName name="_xlnm.Print_Area" localSheetId="2">Lumière_du_jour!$A$1:$R$40</definedName>
    <definedName name="_xlnm.Print_Area" localSheetId="4">Questionnaire_rénovation!$A$1:$E$30</definedName>
    <definedName name="_xlnm.Print_Area" localSheetId="0">Résumé!$A$1:$D$45</definedName>
    <definedName name="_xlnm.Print_Area" localSheetId="3">Vues!$A$1:$H$40</definedName>
    <definedName name="_xlnm.Print_Area">Lumière_du_jour!$B$1:$Q$35</definedName>
    <definedName name="_xlnm.Print_Titles" localSheetId="2">Lumière_du_jour!$1:$4</definedName>
    <definedName name="Erneuerung">Constants!$B$19</definedName>
    <definedName name="Gut">Constants!$C$107</definedName>
    <definedName name="Ja">Constants!$B$9</definedName>
    <definedName name="JaNein">Constants!$B$9:$B$10</definedName>
    <definedName name="ListAussicht">Constants!$B$58:$B$64</definedName>
    <definedName name="ListAussichtQ">Constants!$B$66:$B$69</definedName>
    <definedName name="ListBauvorhaben">Constants!$B$18:$B$19</definedName>
    <definedName name="ListBeleuchtung">Constants!$B$72:$B$105</definedName>
    <definedName name="ListHorizont">Constants!$B$54:$B$56</definedName>
    <definedName name="ListNutzung">Constants!$B$22:$B$34</definedName>
    <definedName name="ListOrientierung">Constants!$B$107:$B$115</definedName>
    <definedName name="ListRaumReflex">Constants!$B$36:$B$38</definedName>
    <definedName name="ListSoControl">Constants!$B$47:$B$52</definedName>
    <definedName name="ListSoSchu">Constants!$B$40:$B$45</definedName>
    <definedName name="ListSprache">Texte!$C$4:$F$4</definedName>
    <definedName name="ListWindow">OFFSET(Fenêtres!$B$5,,,COUNTIF(Fenêtres!$B$5:$B$39,"&gt;"""),)</definedName>
    <definedName name="MatrixAussicht">Constants!$B$58:$C$64</definedName>
    <definedName name="MatrixBauvorhaben">Constants!$B$18:$C$19</definedName>
    <definedName name="MatrixBeleuchtung">Constants!$B$72:$E$105</definedName>
    <definedName name="MatrixHorizont">Constants!$B$54:$C$56</definedName>
    <definedName name="MatrixNutzung">Constants!$B$22:$D$34</definedName>
    <definedName name="MatrixRaumReflex">Constants!$B$36:$C$38</definedName>
    <definedName name="MatrixSoControl">Constants!$B$47:$C$52</definedName>
    <definedName name="MatrixSoSchu">Constants!$B$40:$C$45</definedName>
    <definedName name="MatrixTexteT1">Texte!$A$5:$B$39</definedName>
    <definedName name="MatrixTexteT2">Texte!$A$43:$B$57</definedName>
    <definedName name="MatrixTexteT3">Texte!$A$61:$B$97</definedName>
    <definedName name="MatrixTexteT4">Texte!$A$129:$B$147</definedName>
    <definedName name="MatrixTexteT5">Texte!$A$101:$B$125</definedName>
    <definedName name="MatrixWindow">Fenêtres!$B$5:$R$39</definedName>
    <definedName name="MaxUFläche">Constants!$B$113</definedName>
    <definedName name="Mindesterfüllung">Constants!$B$111</definedName>
    <definedName name="Nein">Constants!$B$10</definedName>
    <definedName name="Neubau">Constants!$B$18</definedName>
    <definedName name="Nutzung">Résumé!$B$11</definedName>
    <definedName name="Password">Constants!$B$7</definedName>
    <definedName name="Projektbez">Résumé!$B$5</definedName>
    <definedName name="Renovationsfaktor">Constants!$D$13</definedName>
    <definedName name="Schulen">Constants!#REF!</definedName>
    <definedName name="SheetDaylight">Texte!$B$248</definedName>
    <definedName name="SheetOverview">Texte!$B$246</definedName>
    <definedName name="SheetQuestionaire">Texte!$B$250</definedName>
    <definedName name="SheetViews">Texte!$B$249</definedName>
    <definedName name="SheetWindow">Texte!$B$247</definedName>
    <definedName name="Sprachwahl">Constants!$B$5</definedName>
    <definedName name="SummeRaumflaeche">Lumière_du_jour!$S$38</definedName>
    <definedName name="Version">Constants!$B$115</definedName>
    <definedName name="VersionNr">Versionierung!$A$31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9" i="18" l="1" a="1"/>
  <c r="S39" i="18" s="1"/>
  <c r="B111" i="27"/>
  <c r="B11" i="31"/>
  <c r="B12" i="12" s="1"/>
  <c r="B230" i="31"/>
  <c r="B26" i="27" s="1"/>
  <c r="B5" i="32"/>
  <c r="S38" i="18"/>
  <c r="B39" i="31" l="1"/>
  <c r="A59" i="12" s="1"/>
  <c r="B238" i="31"/>
  <c r="B34" i="27" s="1"/>
  <c r="B237" i="31"/>
  <c r="B33" i="27" s="1"/>
  <c r="B236" i="31"/>
  <c r="B32" i="27" s="1"/>
  <c r="B235" i="31"/>
  <c r="B31" i="27" s="1"/>
  <c r="B234" i="31"/>
  <c r="B30" i="27" s="1"/>
  <c r="B233" i="31"/>
  <c r="B29" i="27" s="1"/>
  <c r="B232" i="31"/>
  <c r="B28" i="27" s="1"/>
  <c r="B231" i="31"/>
  <c r="B27" i="27" s="1"/>
  <c r="B229" i="31"/>
  <c r="B25" i="27" s="1"/>
  <c r="B228" i="31"/>
  <c r="B24" i="27" s="1"/>
  <c r="B227" i="31"/>
  <c r="B23" i="27" s="1"/>
  <c r="B226" i="31"/>
  <c r="B22" i="27" s="1"/>
  <c r="B10" i="31"/>
  <c r="A11" i="12" s="1"/>
  <c r="B22" i="31"/>
  <c r="D31" i="12" s="1"/>
  <c r="B113" i="27"/>
  <c r="R35" i="29" l="1"/>
  <c r="R36" i="29"/>
  <c r="R37" i="29"/>
  <c r="R38" i="29"/>
  <c r="R39" i="29"/>
  <c r="A31" i="33" l="1" a="1"/>
  <c r="A31" i="33" s="1"/>
  <c r="B115" i="27" s="1"/>
  <c r="B176" i="31" l="1"/>
  <c r="B97" i="27" s="1"/>
  <c r="B181" i="31" l="1"/>
  <c r="B102" i="27" s="1"/>
  <c r="B195" i="31" l="1"/>
  <c r="B40" i="27" s="1"/>
  <c r="B201" i="31"/>
  <c r="B47" i="27" s="1"/>
  <c r="B190" i="31"/>
  <c r="B41" i="27" s="1"/>
  <c r="W33" i="18"/>
  <c r="I33" i="32" s="1"/>
  <c r="J33" i="32" s="1"/>
  <c r="W34" i="18"/>
  <c r="I34" i="32" s="1"/>
  <c r="J34" i="32" s="1"/>
  <c r="B6" i="31"/>
  <c r="B23" i="31"/>
  <c r="A39" i="12" s="1"/>
  <c r="B24" i="31"/>
  <c r="A41" i="12" s="1"/>
  <c r="B25" i="31"/>
  <c r="A42" i="12" s="1"/>
  <c r="B26" i="31"/>
  <c r="B249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B111" i="31"/>
  <c r="H4" i="32" s="1"/>
  <c r="B112" i="31"/>
  <c r="B36" i="32" s="1"/>
  <c r="B122" i="31"/>
  <c r="H37" i="32" s="1"/>
  <c r="B121" i="31"/>
  <c r="F37" i="32" s="1"/>
  <c r="B120" i="31"/>
  <c r="G37" i="32" s="1"/>
  <c r="B119" i="31"/>
  <c r="E37" i="32" s="1"/>
  <c r="B118" i="31"/>
  <c r="D37" i="32" s="1"/>
  <c r="B117" i="31"/>
  <c r="C37" i="32" s="1"/>
  <c r="B116" i="31"/>
  <c r="B37" i="32" s="1"/>
  <c r="B115" i="31"/>
  <c r="G36" i="32" s="1"/>
  <c r="B114" i="31"/>
  <c r="E36" i="32" s="1"/>
  <c r="B113" i="31"/>
  <c r="C36" i="32" s="1"/>
  <c r="B123" i="31"/>
  <c r="B38" i="32" s="1"/>
  <c r="B124" i="31"/>
  <c r="B125" i="31"/>
  <c r="B40" i="32" s="1"/>
  <c r="B217" i="31"/>
  <c r="B69" i="27" s="1"/>
  <c r="B216" i="31"/>
  <c r="B68" i="27" s="1"/>
  <c r="B215" i="31"/>
  <c r="B67" i="27" s="1"/>
  <c r="B214" i="31"/>
  <c r="B66" i="27" s="1"/>
  <c r="B103" i="31"/>
  <c r="C3" i="32" s="1"/>
  <c r="B107" i="31"/>
  <c r="C4" i="32" s="1"/>
  <c r="B108" i="31"/>
  <c r="D4" i="32" s="1"/>
  <c r="B109" i="31"/>
  <c r="E4" i="32" s="1"/>
  <c r="B106" i="31"/>
  <c r="B4" i="32" s="1"/>
  <c r="B105" i="31"/>
  <c r="B104" i="31"/>
  <c r="B102" i="31"/>
  <c r="B3" i="32" s="1"/>
  <c r="B101" i="31"/>
  <c r="A1" i="32" s="1"/>
  <c r="B211" i="31"/>
  <c r="B63" i="27" s="1"/>
  <c r="B212" i="31"/>
  <c r="B64" i="27" s="1"/>
  <c r="B210" i="31"/>
  <c r="B62" i="27" s="1"/>
  <c r="B209" i="31"/>
  <c r="B61" i="27" s="1"/>
  <c r="B208" i="31"/>
  <c r="B60" i="27" s="1"/>
  <c r="B207" i="31"/>
  <c r="B59" i="27" s="1"/>
  <c r="B206" i="31"/>
  <c r="B58" i="27" s="1"/>
  <c r="F100" i="31"/>
  <c r="E100" i="31"/>
  <c r="D100" i="31"/>
  <c r="C100" i="31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83" i="31"/>
  <c r="R4" i="18" s="1"/>
  <c r="B63" i="31"/>
  <c r="R3" i="18" s="1"/>
  <c r="G3" i="32" s="1"/>
  <c r="S5" i="18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286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366" i="31"/>
  <c r="C365" i="31"/>
  <c r="C364" i="31"/>
  <c r="C363" i="31"/>
  <c r="C358" i="31"/>
  <c r="C357" i="31"/>
  <c r="C356" i="31"/>
  <c r="C355" i="31"/>
  <c r="C350" i="31"/>
  <c r="C349" i="31"/>
  <c r="C348" i="31"/>
  <c r="C347" i="31"/>
  <c r="C339" i="31"/>
  <c r="C340" i="31"/>
  <c r="C341" i="31"/>
  <c r="C342" i="31"/>
  <c r="C362" i="31"/>
  <c r="C361" i="31"/>
  <c r="C354" i="31"/>
  <c r="C353" i="31"/>
  <c r="C346" i="31"/>
  <c r="C345" i="31"/>
  <c r="C338" i="31"/>
  <c r="C337" i="31"/>
  <c r="C334" i="31"/>
  <c r="C333" i="31"/>
  <c r="C330" i="31"/>
  <c r="C329" i="31"/>
  <c r="C326" i="31"/>
  <c r="C325" i="31"/>
  <c r="C322" i="31"/>
  <c r="C321" i="31"/>
  <c r="C318" i="31"/>
  <c r="C317" i="31"/>
  <c r="C314" i="31"/>
  <c r="C313" i="31"/>
  <c r="C310" i="31"/>
  <c r="C309" i="31"/>
  <c r="C305" i="31"/>
  <c r="C306" i="31"/>
  <c r="D360" i="31"/>
  <c r="C360" i="31" s="1"/>
  <c r="D352" i="31"/>
  <c r="C352" i="31" s="1"/>
  <c r="D344" i="31"/>
  <c r="C344" i="31" s="1"/>
  <c r="C343" i="31"/>
  <c r="C351" i="31"/>
  <c r="C359" i="31"/>
  <c r="C256" i="31"/>
  <c r="C257" i="31"/>
  <c r="C285" i="31"/>
  <c r="C302" i="31"/>
  <c r="C303" i="31"/>
  <c r="C304" i="31"/>
  <c r="C307" i="31"/>
  <c r="C308" i="31"/>
  <c r="C311" i="31"/>
  <c r="C312" i="31"/>
  <c r="C315" i="31"/>
  <c r="C316" i="31"/>
  <c r="C319" i="31"/>
  <c r="C320" i="31"/>
  <c r="C323" i="31"/>
  <c r="C324" i="31"/>
  <c r="C327" i="31"/>
  <c r="C328" i="31"/>
  <c r="C331" i="31"/>
  <c r="C332" i="31"/>
  <c r="C335" i="31"/>
  <c r="C255" i="31"/>
  <c r="D336" i="31"/>
  <c r="C336" i="31" s="1"/>
  <c r="S24" i="18"/>
  <c r="K24" i="32" s="1"/>
  <c r="S25" i="18"/>
  <c r="K25" i="32" s="1"/>
  <c r="S26" i="18"/>
  <c r="K26" i="32" s="1"/>
  <c r="S27" i="18"/>
  <c r="K27" i="32" s="1"/>
  <c r="S28" i="18"/>
  <c r="K28" i="32" s="1"/>
  <c r="S29" i="18"/>
  <c r="K29" i="32" s="1"/>
  <c r="S30" i="18"/>
  <c r="K30" i="32" s="1"/>
  <c r="S31" i="18"/>
  <c r="K31" i="32" s="1"/>
  <c r="S32" i="18"/>
  <c r="S33" i="18"/>
  <c r="T33" i="18"/>
  <c r="Y33" i="18"/>
  <c r="AG33" i="18" s="1"/>
  <c r="Z33" i="18"/>
  <c r="AH33" i="18"/>
  <c r="S34" i="18"/>
  <c r="K34" i="32" s="1"/>
  <c r="T34" i="18"/>
  <c r="AB34" i="18" s="1"/>
  <c r="Y34" i="18"/>
  <c r="AG34" i="18" s="1"/>
  <c r="Z34" i="18"/>
  <c r="AH34" i="18"/>
  <c r="B87" i="31"/>
  <c r="N36" i="18" s="1"/>
  <c r="B88" i="31"/>
  <c r="B37" i="18" s="1"/>
  <c r="B86" i="31"/>
  <c r="J36" i="18" s="1"/>
  <c r="B92" i="31"/>
  <c r="J37" i="18" s="1"/>
  <c r="B93" i="31"/>
  <c r="L37" i="18" s="1"/>
  <c r="B91" i="31"/>
  <c r="N37" i="18" s="1"/>
  <c r="B94" i="31"/>
  <c r="P37" i="18" s="1"/>
  <c r="B89" i="31"/>
  <c r="F37" i="18" s="1"/>
  <c r="B90" i="31"/>
  <c r="H37" i="18" s="1"/>
  <c r="B85" i="31"/>
  <c r="F36" i="18" s="1"/>
  <c r="F42" i="31"/>
  <c r="E42" i="31"/>
  <c r="D42" i="31"/>
  <c r="C42" i="31"/>
  <c r="F60" i="31"/>
  <c r="E60" i="31"/>
  <c r="D60" i="31"/>
  <c r="C60" i="31"/>
  <c r="F128" i="31"/>
  <c r="E128" i="31"/>
  <c r="D128" i="31"/>
  <c r="C128" i="31"/>
  <c r="G254" i="31"/>
  <c r="F254" i="31"/>
  <c r="E254" i="31"/>
  <c r="D254" i="31"/>
  <c r="F150" i="31"/>
  <c r="E150" i="31"/>
  <c r="D150" i="31"/>
  <c r="C150" i="31"/>
  <c r="B250" i="31"/>
  <c r="B248" i="31"/>
  <c r="B247" i="31"/>
  <c r="B246" i="31"/>
  <c r="B29" i="31"/>
  <c r="B244" i="31"/>
  <c r="B10" i="27" s="1"/>
  <c r="B243" i="31"/>
  <c r="B9" i="27" s="1"/>
  <c r="B224" i="31"/>
  <c r="B19" i="27" s="1"/>
  <c r="B223" i="31"/>
  <c r="B18" i="27" s="1"/>
  <c r="B147" i="31"/>
  <c r="D29" i="28" s="1"/>
  <c r="B146" i="31"/>
  <c r="D27" i="28" s="1"/>
  <c r="B145" i="31"/>
  <c r="D25" i="28" s="1"/>
  <c r="B144" i="31"/>
  <c r="C23" i="28" s="1"/>
  <c r="B143" i="31"/>
  <c r="B23" i="28" s="1"/>
  <c r="B142" i="31"/>
  <c r="A23" i="28" s="1"/>
  <c r="B141" i="31"/>
  <c r="A21" i="28" s="1"/>
  <c r="B140" i="31"/>
  <c r="B139" i="31"/>
  <c r="B138" i="31"/>
  <c r="B137" i="31"/>
  <c r="A17" i="28" s="1"/>
  <c r="B136" i="31"/>
  <c r="A13" i="28" s="1"/>
  <c r="B135" i="31"/>
  <c r="A11" i="28" s="1"/>
  <c r="B134" i="31"/>
  <c r="A9" i="28" s="1"/>
  <c r="B133" i="31"/>
  <c r="A7" i="28" s="1"/>
  <c r="B132" i="31"/>
  <c r="A5" i="28" s="1"/>
  <c r="B131" i="31"/>
  <c r="E3" i="28" s="1"/>
  <c r="B130" i="31"/>
  <c r="A3" i="28" s="1"/>
  <c r="B129" i="31"/>
  <c r="A1" i="28" s="1"/>
  <c r="B221" i="31"/>
  <c r="B220" i="31"/>
  <c r="E108" i="27" s="1"/>
  <c r="B219" i="31"/>
  <c r="E107" i="27" s="1"/>
  <c r="B204" i="31"/>
  <c r="B56" i="27" s="1"/>
  <c r="Q29" i="29" s="1"/>
  <c r="B203" i="31"/>
  <c r="B55" i="27" s="1"/>
  <c r="B202" i="31"/>
  <c r="B54" i="27" s="1"/>
  <c r="B200" i="31"/>
  <c r="B52" i="27" s="1"/>
  <c r="B199" i="31"/>
  <c r="B51" i="27" s="1"/>
  <c r="B198" i="31"/>
  <c r="B50" i="27" s="1"/>
  <c r="B197" i="31"/>
  <c r="B49" i="27" s="1"/>
  <c r="B196" i="31"/>
  <c r="B48" i="27" s="1"/>
  <c r="P25" i="29" s="1"/>
  <c r="B194" i="31"/>
  <c r="B45" i="27" s="1"/>
  <c r="O28" i="29" s="1"/>
  <c r="B193" i="31"/>
  <c r="B44" i="27" s="1"/>
  <c r="B192" i="31"/>
  <c r="B43" i="27" s="1"/>
  <c r="B191" i="31"/>
  <c r="B42" i="27" s="1"/>
  <c r="B188" i="31"/>
  <c r="B38" i="27" s="1"/>
  <c r="B187" i="31"/>
  <c r="B37" i="27" s="1"/>
  <c r="B186" i="31"/>
  <c r="B36" i="27" s="1"/>
  <c r="B168" i="31"/>
  <c r="B89" i="27" s="1"/>
  <c r="B169" i="31"/>
  <c r="B90" i="27" s="1"/>
  <c r="B170" i="31"/>
  <c r="B91" i="27" s="1"/>
  <c r="B171" i="31"/>
  <c r="B92" i="27" s="1"/>
  <c r="B172" i="31"/>
  <c r="B93" i="27" s="1"/>
  <c r="B173" i="31"/>
  <c r="B94" i="27" s="1"/>
  <c r="B174" i="31"/>
  <c r="B95" i="27" s="1"/>
  <c r="B175" i="31"/>
  <c r="B96" i="27" s="1"/>
  <c r="B177" i="31"/>
  <c r="B98" i="27" s="1"/>
  <c r="B178" i="31"/>
  <c r="B99" i="27" s="1"/>
  <c r="B179" i="31"/>
  <c r="B100" i="27" s="1"/>
  <c r="B180" i="31"/>
  <c r="B101" i="27" s="1"/>
  <c r="B182" i="31"/>
  <c r="B103" i="27" s="1"/>
  <c r="B183" i="31"/>
  <c r="B104" i="27" s="1"/>
  <c r="B184" i="31"/>
  <c r="B105" i="27" s="1"/>
  <c r="AH29" i="18" s="1"/>
  <c r="B167" i="31"/>
  <c r="B88" i="27" s="1"/>
  <c r="B166" i="31"/>
  <c r="B87" i="27" s="1"/>
  <c r="B165" i="31"/>
  <c r="B86" i="27" s="1"/>
  <c r="B164" i="31"/>
  <c r="B85" i="27" s="1"/>
  <c r="B163" i="31"/>
  <c r="B84" i="27" s="1"/>
  <c r="B162" i="31"/>
  <c r="B83" i="27" s="1"/>
  <c r="B161" i="31"/>
  <c r="B82" i="27" s="1"/>
  <c r="B160" i="31"/>
  <c r="B81" i="27" s="1"/>
  <c r="B159" i="31"/>
  <c r="B80" i="27" s="1"/>
  <c r="B158" i="31"/>
  <c r="B79" i="27" s="1"/>
  <c r="B157" i="31"/>
  <c r="B78" i="27" s="1"/>
  <c r="B156" i="31"/>
  <c r="B77" i="27" s="1"/>
  <c r="B155" i="31"/>
  <c r="B76" i="27" s="1"/>
  <c r="B154" i="31"/>
  <c r="B75" i="27" s="1"/>
  <c r="B153" i="31"/>
  <c r="B74" i="27" s="1"/>
  <c r="B152" i="31"/>
  <c r="B73" i="27" s="1"/>
  <c r="B151" i="31"/>
  <c r="B72" i="27" s="1"/>
  <c r="B96" i="31"/>
  <c r="B97" i="31"/>
  <c r="B40" i="18" s="1"/>
  <c r="B73" i="31"/>
  <c r="I4" i="18" s="1"/>
  <c r="B74" i="31"/>
  <c r="J3" i="18" s="1"/>
  <c r="B75" i="31"/>
  <c r="J4" i="18" s="1"/>
  <c r="B76" i="31"/>
  <c r="K4" i="18" s="1"/>
  <c r="B77" i="31"/>
  <c r="L4" i="18" s="1"/>
  <c r="B78" i="31"/>
  <c r="M4" i="18" s="1"/>
  <c r="B79" i="31"/>
  <c r="N4" i="18" s="1"/>
  <c r="B80" i="31"/>
  <c r="O4" i="18" s="1"/>
  <c r="B81" i="31"/>
  <c r="P4" i="18" s="1"/>
  <c r="B82" i="31"/>
  <c r="Q4" i="18" s="1"/>
  <c r="B84" i="31"/>
  <c r="B36" i="18" s="1"/>
  <c r="B95" i="31"/>
  <c r="B38" i="18" s="1"/>
  <c r="B62" i="31"/>
  <c r="B3" i="18" s="1"/>
  <c r="B64" i="31"/>
  <c r="B65" i="31"/>
  <c r="B4" i="18" s="1"/>
  <c r="B66" i="31"/>
  <c r="C4" i="18" s="1"/>
  <c r="B67" i="31"/>
  <c r="D3" i="18" s="1"/>
  <c r="B68" i="31"/>
  <c r="D4" i="18" s="1"/>
  <c r="B69" i="31"/>
  <c r="E4" i="18" s="1"/>
  <c r="B70" i="31"/>
  <c r="F4" i="18" s="1"/>
  <c r="B71" i="31"/>
  <c r="G4" i="18" s="1"/>
  <c r="B72" i="31"/>
  <c r="H4" i="18" s="1"/>
  <c r="B61" i="31"/>
  <c r="A1" i="18" s="1"/>
  <c r="B43" i="31"/>
  <c r="A1" i="29" s="1"/>
  <c r="B45" i="31"/>
  <c r="B4" i="29" s="1"/>
  <c r="B46" i="31"/>
  <c r="C4" i="29" s="1"/>
  <c r="B47" i="31"/>
  <c r="D4" i="29" s="1"/>
  <c r="B48" i="31"/>
  <c r="E4" i="29" s="1"/>
  <c r="B49" i="31"/>
  <c r="F4" i="29" s="1"/>
  <c r="B50" i="31"/>
  <c r="G4" i="29" s="1"/>
  <c r="B51" i="31"/>
  <c r="H4" i="29" s="1"/>
  <c r="B52" i="31"/>
  <c r="I4" i="29" s="1"/>
  <c r="B53" i="31"/>
  <c r="J4" i="29" s="1"/>
  <c r="B54" i="31"/>
  <c r="K3" i="29" s="1"/>
  <c r="B55" i="31"/>
  <c r="K4" i="29" s="1"/>
  <c r="B56" i="31"/>
  <c r="L4" i="29" s="1"/>
  <c r="B57" i="31"/>
  <c r="M4" i="29" s="1"/>
  <c r="B44" i="31"/>
  <c r="B3" i="29" s="1"/>
  <c r="B7" i="31"/>
  <c r="B8" i="31"/>
  <c r="B9" i="31"/>
  <c r="B12" i="31"/>
  <c r="B13" i="31"/>
  <c r="B14" i="31"/>
  <c r="B15" i="31"/>
  <c r="B16" i="31"/>
  <c r="B17" i="31"/>
  <c r="B18" i="31"/>
  <c r="A31" i="12" s="1"/>
  <c r="B19" i="31"/>
  <c r="B20" i="31"/>
  <c r="B21" i="31"/>
  <c r="B27" i="31"/>
  <c r="B28" i="31"/>
  <c r="D47" i="12" s="1"/>
  <c r="B5" i="31"/>
  <c r="B35" i="31"/>
  <c r="B38" i="31"/>
  <c r="S6" i="18"/>
  <c r="K6" i="32" s="1"/>
  <c r="S7" i="18"/>
  <c r="K7" i="32" s="1"/>
  <c r="S8" i="18"/>
  <c r="K8" i="32" s="1"/>
  <c r="S9" i="18"/>
  <c r="K9" i="32" s="1"/>
  <c r="S10" i="18"/>
  <c r="K10" i="32" s="1"/>
  <c r="S11" i="18"/>
  <c r="K11" i="32" s="1"/>
  <c r="S12" i="18"/>
  <c r="K12" i="32" s="1"/>
  <c r="S13" i="18"/>
  <c r="K13" i="32"/>
  <c r="S14" i="18"/>
  <c r="S15" i="18"/>
  <c r="K15" i="32" s="1"/>
  <c r="S16" i="18"/>
  <c r="K16" i="32" s="1"/>
  <c r="S17" i="18"/>
  <c r="K17" i="32" s="1"/>
  <c r="S18" i="18"/>
  <c r="K18" i="32" s="1"/>
  <c r="S19" i="18"/>
  <c r="K19" i="32" s="1"/>
  <c r="S20" i="18"/>
  <c r="K20" i="32" s="1"/>
  <c r="S21" i="18"/>
  <c r="K21" i="32" s="1"/>
  <c r="S22" i="18"/>
  <c r="K22" i="32" s="1"/>
  <c r="S23" i="18"/>
  <c r="K23" i="32" s="1"/>
  <c r="AH13" i="18"/>
  <c r="Y13" i="18"/>
  <c r="AG13" i="18" s="1"/>
  <c r="Q26" i="29"/>
  <c r="Q34" i="29"/>
  <c r="P29" i="29"/>
  <c r="P30" i="29"/>
  <c r="O25" i="29"/>
  <c r="O29" i="29"/>
  <c r="O33" i="29"/>
  <c r="D109" i="27"/>
  <c r="D108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105" i="27"/>
  <c r="E81" i="27"/>
  <c r="E76" i="27"/>
  <c r="E79" i="27"/>
  <c r="E99" i="27"/>
  <c r="E93" i="27"/>
  <c r="E95" i="27"/>
  <c r="E88" i="27"/>
  <c r="E75" i="27"/>
  <c r="E80" i="27"/>
  <c r="E94" i="27"/>
  <c r="E87" i="27"/>
  <c r="E77" i="27"/>
  <c r="E103" i="27"/>
  <c r="E92" i="27"/>
  <c r="E98" i="27"/>
  <c r="E84" i="27"/>
  <c r="E83" i="27"/>
  <c r="E104" i="27"/>
  <c r="E89" i="27"/>
  <c r="E72" i="27"/>
  <c r="E74" i="27"/>
  <c r="E100" i="27"/>
  <c r="E73" i="27"/>
  <c r="E91" i="27"/>
  <c r="E90" i="27"/>
  <c r="E86" i="27"/>
  <c r="E101" i="27"/>
  <c r="E78" i="27"/>
  <c r="E96" i="27"/>
  <c r="E85" i="27"/>
  <c r="E82" i="27"/>
  <c r="C25" i="28"/>
  <c r="C27" i="28"/>
  <c r="C29" i="28"/>
  <c r="B29" i="28"/>
  <c r="A29" i="28"/>
  <c r="A27" i="28"/>
  <c r="B27" i="28"/>
  <c r="B25" i="28"/>
  <c r="A25" i="28"/>
  <c r="X34" i="18"/>
  <c r="X33" i="18"/>
  <c r="K33" i="32"/>
  <c r="B110" i="31"/>
  <c r="G4" i="32" s="1"/>
  <c r="B39" i="32" l="1"/>
  <c r="B39" i="18"/>
  <c r="F30" i="31"/>
  <c r="E30" i="31"/>
  <c r="C30" i="31"/>
  <c r="D30" i="31"/>
  <c r="E31" i="31"/>
  <c r="C31" i="31"/>
  <c r="B9" i="12"/>
  <c r="O11" i="29"/>
  <c r="A36" i="12"/>
  <c r="E109" i="27"/>
  <c r="K5" i="32"/>
  <c r="Q25" i="29"/>
  <c r="P24" i="29"/>
  <c r="Q35" i="29"/>
  <c r="Q38" i="29"/>
  <c r="Q39" i="29"/>
  <c r="Q37" i="29"/>
  <c r="Q36" i="29"/>
  <c r="O24" i="29"/>
  <c r="O27" i="29"/>
  <c r="P32" i="29"/>
  <c r="Q28" i="29"/>
  <c r="O34" i="29"/>
  <c r="O26" i="29"/>
  <c r="P31" i="29"/>
  <c r="P23" i="29"/>
  <c r="Q27" i="29"/>
  <c r="O32" i="29"/>
  <c r="O31" i="29"/>
  <c r="O23" i="29"/>
  <c r="P28" i="29"/>
  <c r="Q32" i="29"/>
  <c r="Q24" i="29"/>
  <c r="W13" i="18"/>
  <c r="I13" i="32" s="1"/>
  <c r="J13" i="32" s="1"/>
  <c r="L13" i="32" s="1"/>
  <c r="O30" i="29"/>
  <c r="Q31" i="29"/>
  <c r="Q23" i="29"/>
  <c r="P26" i="29"/>
  <c r="Q30" i="29"/>
  <c r="P39" i="29"/>
  <c r="P36" i="29"/>
  <c r="P37" i="29"/>
  <c r="P38" i="29"/>
  <c r="P35" i="29"/>
  <c r="Q33" i="29"/>
  <c r="P27" i="29"/>
  <c r="P34" i="29"/>
  <c r="P33" i="29"/>
  <c r="O35" i="29"/>
  <c r="O36" i="29"/>
  <c r="O37" i="29"/>
  <c r="O38" i="29"/>
  <c r="O39" i="29"/>
  <c r="Z17" i="18"/>
  <c r="A45" i="12"/>
  <c r="B15" i="27"/>
  <c r="AH18" i="18"/>
  <c r="Z10" i="18"/>
  <c r="P6" i="29"/>
  <c r="O10" i="29"/>
  <c r="AH10" i="18"/>
  <c r="Z11" i="18"/>
  <c r="P8" i="29"/>
  <c r="P22" i="29"/>
  <c r="AH17" i="18"/>
  <c r="Z23" i="18"/>
  <c r="Z15" i="18"/>
  <c r="Z8" i="18"/>
  <c r="AH16" i="18"/>
  <c r="AH8" i="18"/>
  <c r="P5" i="29"/>
  <c r="Z16" i="18"/>
  <c r="AH9" i="18"/>
  <c r="Z22" i="18"/>
  <c r="W24" i="18"/>
  <c r="I24" i="32" s="1"/>
  <c r="J24" i="32" s="1"/>
  <c r="L24" i="32" s="1"/>
  <c r="P16" i="29"/>
  <c r="P15" i="29"/>
  <c r="Z7" i="18"/>
  <c r="P14" i="29"/>
  <c r="Z21" i="18"/>
  <c r="Z13" i="18"/>
  <c r="AH22" i="18"/>
  <c r="AH14" i="18"/>
  <c r="O12" i="29"/>
  <c r="W17" i="18"/>
  <c r="I17" i="32" s="1"/>
  <c r="J17" i="32" s="1"/>
  <c r="L17" i="32" s="1"/>
  <c r="AH6" i="18"/>
  <c r="Z9" i="18"/>
  <c r="P7" i="29"/>
  <c r="AH15" i="18"/>
  <c r="Z20" i="18"/>
  <c r="AH21" i="18"/>
  <c r="Z14" i="18"/>
  <c r="Z6" i="18"/>
  <c r="Z19" i="18"/>
  <c r="Z12" i="18"/>
  <c r="AH20" i="18"/>
  <c r="AH12" i="18"/>
  <c r="AH7" i="18"/>
  <c r="Z5" i="18"/>
  <c r="AH23" i="18"/>
  <c r="Z18" i="18"/>
  <c r="AH19" i="18"/>
  <c r="AH11" i="18"/>
  <c r="Z30" i="18"/>
  <c r="O18" i="29"/>
  <c r="P9" i="29"/>
  <c r="W16" i="18"/>
  <c r="I16" i="32" s="1"/>
  <c r="J16" i="32" s="1"/>
  <c r="L16" i="32" s="1"/>
  <c r="Y28" i="18"/>
  <c r="Z26" i="18"/>
  <c r="Y7" i="18"/>
  <c r="AH24" i="18"/>
  <c r="W9" i="18"/>
  <c r="I9" i="32" s="1"/>
  <c r="J9" i="32" s="1"/>
  <c r="L9" i="32" s="1"/>
  <c r="Z24" i="18"/>
  <c r="W8" i="18"/>
  <c r="I8" i="32" s="1"/>
  <c r="J8" i="32" s="1"/>
  <c r="L8" i="32" s="1"/>
  <c r="P13" i="29"/>
  <c r="P12" i="29"/>
  <c r="P19" i="29"/>
  <c r="P11" i="29"/>
  <c r="AH27" i="18"/>
  <c r="P20" i="29"/>
  <c r="P18" i="29"/>
  <c r="P10" i="29"/>
  <c r="Z27" i="18"/>
  <c r="W32" i="18"/>
  <c r="I32" i="32" s="1"/>
  <c r="J32" i="32" s="1"/>
  <c r="L32" i="32" s="1"/>
  <c r="P21" i="29"/>
  <c r="P17" i="29"/>
  <c r="E36" i="31"/>
  <c r="AH30" i="18"/>
  <c r="W25" i="18"/>
  <c r="I25" i="32" s="1"/>
  <c r="J25" i="32" s="1"/>
  <c r="L25" i="32" s="1"/>
  <c r="Q13" i="29"/>
  <c r="Q5" i="29"/>
  <c r="Q12" i="29"/>
  <c r="Q20" i="29"/>
  <c r="Y5" i="18"/>
  <c r="O9" i="29"/>
  <c r="O19" i="29"/>
  <c r="Y22" i="18"/>
  <c r="Y18" i="18"/>
  <c r="Y14" i="18"/>
  <c r="Y10" i="18"/>
  <c r="Y32" i="18"/>
  <c r="Z29" i="18"/>
  <c r="Y26" i="18"/>
  <c r="W26" i="18"/>
  <c r="I26" i="32" s="1"/>
  <c r="J26" i="32" s="1"/>
  <c r="L26" i="32" s="1"/>
  <c r="W18" i="18"/>
  <c r="I18" i="32" s="1"/>
  <c r="J18" i="32" s="1"/>
  <c r="L18" i="32" s="1"/>
  <c r="W10" i="18"/>
  <c r="I10" i="32" s="1"/>
  <c r="J10" i="32" s="1"/>
  <c r="L10" i="32" s="1"/>
  <c r="O16" i="29"/>
  <c r="O8" i="29"/>
  <c r="F37" i="31"/>
  <c r="F36" i="31"/>
  <c r="E37" i="31"/>
  <c r="E33" i="31"/>
  <c r="D37" i="31"/>
  <c r="F33" i="31"/>
  <c r="C37" i="31"/>
  <c r="D36" i="31"/>
  <c r="D33" i="31"/>
  <c r="C36" i="31"/>
  <c r="C33" i="31"/>
  <c r="AH31" i="18"/>
  <c r="Y30" i="18"/>
  <c r="Y27" i="18"/>
  <c r="AH25" i="18"/>
  <c r="Y24" i="18"/>
  <c r="W31" i="18"/>
  <c r="I31" i="32" s="1"/>
  <c r="J31" i="32" s="1"/>
  <c r="L31" i="32" s="1"/>
  <c r="W23" i="18"/>
  <c r="I23" i="32" s="1"/>
  <c r="J23" i="32" s="1"/>
  <c r="L23" i="32" s="1"/>
  <c r="W15" i="18"/>
  <c r="I15" i="32" s="1"/>
  <c r="J15" i="32" s="1"/>
  <c r="L15" i="32" s="1"/>
  <c r="W7" i="18"/>
  <c r="I7" i="32" s="1"/>
  <c r="J7" i="32" s="1"/>
  <c r="L7" i="32" s="1"/>
  <c r="Y17" i="18"/>
  <c r="Y6" i="18"/>
  <c r="O15" i="29"/>
  <c r="Y20" i="18"/>
  <c r="Y16" i="18"/>
  <c r="Y12" i="18"/>
  <c r="Y8" i="18"/>
  <c r="AH5" i="18"/>
  <c r="Z31" i="18"/>
  <c r="AH28" i="18"/>
  <c r="Z25" i="18"/>
  <c r="W30" i="18"/>
  <c r="I30" i="32" s="1"/>
  <c r="J30" i="32" s="1"/>
  <c r="L30" i="32" s="1"/>
  <c r="W22" i="18"/>
  <c r="I22" i="32" s="1"/>
  <c r="J22" i="32" s="1"/>
  <c r="L22" i="32" s="1"/>
  <c r="W14" i="18"/>
  <c r="I14" i="32" s="1"/>
  <c r="J14" i="32" s="1"/>
  <c r="L14" i="32" s="1"/>
  <c r="W6" i="18"/>
  <c r="I6" i="32" s="1"/>
  <c r="J6" i="32" s="1"/>
  <c r="L6" i="32" s="1"/>
  <c r="O17" i="29"/>
  <c r="Y9" i="18"/>
  <c r="O5" i="29"/>
  <c r="O22" i="29"/>
  <c r="O14" i="29"/>
  <c r="Y31" i="18"/>
  <c r="Z28" i="18"/>
  <c r="Y25" i="18"/>
  <c r="W29" i="18"/>
  <c r="I29" i="32" s="1"/>
  <c r="J29" i="32" s="1"/>
  <c r="L29" i="32" s="1"/>
  <c r="W21" i="18"/>
  <c r="I21" i="32" s="1"/>
  <c r="J21" i="32" s="1"/>
  <c r="L21" i="32" s="1"/>
  <c r="Y21" i="18"/>
  <c r="F32" i="31"/>
  <c r="E32" i="31"/>
  <c r="F31" i="31"/>
  <c r="D32" i="31"/>
  <c r="C32" i="31"/>
  <c r="D31" i="31"/>
  <c r="O7" i="29"/>
  <c r="O6" i="29"/>
  <c r="O21" i="29"/>
  <c r="O13" i="29"/>
  <c r="Y23" i="18"/>
  <c r="Y19" i="18"/>
  <c r="Y15" i="18"/>
  <c r="Y11" i="18"/>
  <c r="N24" i="29"/>
  <c r="N35" i="29"/>
  <c r="N36" i="29"/>
  <c r="N39" i="29"/>
  <c r="N37" i="29"/>
  <c r="N38" i="29"/>
  <c r="AH32" i="18"/>
  <c r="AH26" i="18"/>
  <c r="W28" i="18"/>
  <c r="I28" i="32" s="1"/>
  <c r="J28" i="32" s="1"/>
  <c r="L28" i="32" s="1"/>
  <c r="W20" i="18"/>
  <c r="I20" i="32" s="1"/>
  <c r="J20" i="32" s="1"/>
  <c r="L20" i="32" s="1"/>
  <c r="W12" i="18"/>
  <c r="I12" i="32" s="1"/>
  <c r="J12" i="32" s="1"/>
  <c r="L12" i="32" s="1"/>
  <c r="Y29" i="18"/>
  <c r="O20" i="29"/>
  <c r="Z32" i="18"/>
  <c r="F34" i="31"/>
  <c r="E34" i="31"/>
  <c r="D34" i="31"/>
  <c r="C34" i="31"/>
  <c r="W5" i="18"/>
  <c r="I5" i="32" s="1"/>
  <c r="J5" i="32" s="1"/>
  <c r="L5" i="32" s="1"/>
  <c r="W27" i="18"/>
  <c r="I27" i="32" s="1"/>
  <c r="J27" i="32" s="1"/>
  <c r="L27" i="32" s="1"/>
  <c r="W19" i="18"/>
  <c r="I19" i="32" s="1"/>
  <c r="J19" i="32" s="1"/>
  <c r="L19" i="32" s="1"/>
  <c r="W11" i="18"/>
  <c r="I11" i="32" s="1"/>
  <c r="J11" i="32" s="1"/>
  <c r="L11" i="32" s="1"/>
  <c r="Q6" i="29"/>
  <c r="Q18" i="29"/>
  <c r="Q10" i="29"/>
  <c r="Q16" i="29"/>
  <c r="Q8" i="29"/>
  <c r="Q11" i="29"/>
  <c r="Q17" i="29"/>
  <c r="Q15" i="29"/>
  <c r="Q9" i="29"/>
  <c r="Q7" i="29"/>
  <c r="Q19" i="29"/>
  <c r="Q22" i="29"/>
  <c r="Q14" i="29"/>
  <c r="Q21" i="29"/>
  <c r="A44" i="12"/>
  <c r="A58" i="12"/>
  <c r="A17" i="12"/>
  <c r="A8" i="12"/>
  <c r="A47" i="12"/>
  <c r="A26" i="12"/>
  <c r="A3" i="12"/>
  <c r="A14" i="12"/>
  <c r="A29" i="12"/>
  <c r="A37" i="12"/>
  <c r="A23" i="12"/>
  <c r="D1" i="12"/>
  <c r="A33" i="12"/>
  <c r="A5" i="12"/>
  <c r="A34" i="12"/>
  <c r="A20" i="12"/>
  <c r="K14" i="32"/>
  <c r="K32" i="32"/>
  <c r="F240" i="31"/>
  <c r="E240" i="31"/>
  <c r="B13" i="27"/>
  <c r="D13" i="27" s="1"/>
  <c r="AI34" i="18"/>
  <c r="AJ34" i="18" s="1"/>
  <c r="R34" i="18" s="1"/>
  <c r="F241" i="31"/>
  <c r="AI33" i="18"/>
  <c r="AJ33" i="18" s="1"/>
  <c r="R33" i="18" s="1"/>
  <c r="C241" i="31"/>
  <c r="D241" i="31"/>
  <c r="U34" i="18"/>
  <c r="AE34" i="18"/>
  <c r="AC34" i="18"/>
  <c r="AA34" i="18"/>
  <c r="N7" i="29"/>
  <c r="D240" i="31"/>
  <c r="N19" i="29"/>
  <c r="C240" i="31"/>
  <c r="A1" i="12"/>
  <c r="N8" i="29"/>
  <c r="N32" i="29"/>
  <c r="N29" i="29"/>
  <c r="N5" i="29"/>
  <c r="N26" i="29"/>
  <c r="N14" i="29"/>
  <c r="N31" i="29"/>
  <c r="N33" i="29"/>
  <c r="N17" i="29"/>
  <c r="N23" i="29"/>
  <c r="N16" i="29"/>
  <c r="N10" i="29"/>
  <c r="T6" i="18" s="1"/>
  <c r="V6" i="18" s="1"/>
  <c r="AD6" i="18" s="1"/>
  <c r="N27" i="29"/>
  <c r="N12" i="29"/>
  <c r="N21" i="29"/>
  <c r="N22" i="29"/>
  <c r="N20" i="29"/>
  <c r="N28" i="29"/>
  <c r="N15" i="29"/>
  <c r="N30" i="29"/>
  <c r="N13" i="29"/>
  <c r="N6" i="29"/>
  <c r="T11" i="18" s="1"/>
  <c r="U11" i="18" s="1"/>
  <c r="AA11" i="18" s="1"/>
  <c r="N11" i="29"/>
  <c r="T13" i="18" s="1"/>
  <c r="X13" i="18" s="1"/>
  <c r="N34" i="29"/>
  <c r="N18" i="29"/>
  <c r="N9" i="29"/>
  <c r="N25" i="29"/>
  <c r="L33" i="32"/>
  <c r="U33" i="18"/>
  <c r="V33" i="18"/>
  <c r="AD33" i="18" s="1"/>
  <c r="AB33" i="18"/>
  <c r="AA33" i="18"/>
  <c r="AC33" i="18"/>
  <c r="AE33" i="18"/>
  <c r="AI13" i="18"/>
  <c r="AJ13" i="18" s="1"/>
  <c r="R13" i="18" s="1"/>
  <c r="V34" i="18"/>
  <c r="AD34" i="18" s="1"/>
  <c r="B14" i="27"/>
  <c r="E241" i="31"/>
  <c r="L34" i="32"/>
  <c r="H30" i="32" l="1"/>
  <c r="M30" i="32"/>
  <c r="G30" i="32" s="1"/>
  <c r="H15" i="32"/>
  <c r="M15" i="32"/>
  <c r="G15" i="32" s="1"/>
  <c r="H34" i="32"/>
  <c r="M34" i="32"/>
  <c r="G34" i="32" s="1"/>
  <c r="H23" i="32"/>
  <c r="M23" i="32"/>
  <c r="G23" i="32" s="1"/>
  <c r="H21" i="32"/>
  <c r="M21" i="32"/>
  <c r="G21" i="32" s="1"/>
  <c r="H31" i="32"/>
  <c r="M31" i="32"/>
  <c r="G31" i="32" s="1"/>
  <c r="H17" i="32"/>
  <c r="M17" i="32"/>
  <c r="G17" i="32" s="1"/>
  <c r="H29" i="32"/>
  <c r="M29" i="32"/>
  <c r="G29" i="32" s="1"/>
  <c r="H32" i="32"/>
  <c r="M32" i="32"/>
  <c r="G32" i="32" s="1"/>
  <c r="H11" i="32"/>
  <c r="M11" i="32"/>
  <c r="G11" i="32" s="1"/>
  <c r="H33" i="32"/>
  <c r="M33" i="32"/>
  <c r="G33" i="32" s="1"/>
  <c r="H19" i="32"/>
  <c r="M19" i="32"/>
  <c r="G19" i="32" s="1"/>
  <c r="H6" i="32"/>
  <c r="M6" i="32"/>
  <c r="G6" i="32" s="1"/>
  <c r="H16" i="32"/>
  <c r="M16" i="32"/>
  <c r="G16" i="32" s="1"/>
  <c r="H24" i="32"/>
  <c r="M24" i="32"/>
  <c r="G24" i="32" s="1"/>
  <c r="H27" i="32"/>
  <c r="M27" i="32"/>
  <c r="G27" i="32" s="1"/>
  <c r="H14" i="32"/>
  <c r="M14" i="32"/>
  <c r="G14" i="32" s="1"/>
  <c r="H10" i="32"/>
  <c r="M10" i="32"/>
  <c r="G10" i="32" s="1"/>
  <c r="H8" i="32"/>
  <c r="M8" i="32"/>
  <c r="G8" i="32" s="1"/>
  <c r="H13" i="32"/>
  <c r="M13" i="32"/>
  <c r="G13" i="32" s="1"/>
  <c r="H5" i="32"/>
  <c r="C39" i="32" a="1"/>
  <c r="C39" i="32" s="1"/>
  <c r="G39" i="32" s="1"/>
  <c r="M5" i="32"/>
  <c r="G5" i="32" s="1"/>
  <c r="H12" i="32"/>
  <c r="M12" i="32"/>
  <c r="G12" i="32" s="1"/>
  <c r="H22" i="32"/>
  <c r="M22" i="32"/>
  <c r="G22" i="32" s="1"/>
  <c r="H18" i="32"/>
  <c r="M18" i="32"/>
  <c r="G18" i="32" s="1"/>
  <c r="H25" i="32"/>
  <c r="M25" i="32"/>
  <c r="G25" i="32" s="1"/>
  <c r="H7" i="32"/>
  <c r="M7" i="32"/>
  <c r="G7" i="32" s="1"/>
  <c r="H26" i="32"/>
  <c r="M26" i="32"/>
  <c r="G26" i="32" s="1"/>
  <c r="H9" i="32"/>
  <c r="M9" i="32"/>
  <c r="G9" i="32" s="1"/>
  <c r="H20" i="32"/>
  <c r="M20" i="32"/>
  <c r="G20" i="32" s="1"/>
  <c r="H28" i="32"/>
  <c r="M28" i="32"/>
  <c r="G28" i="32" s="1"/>
  <c r="K35" i="32"/>
  <c r="C38" i="32" s="1"/>
  <c r="G38" i="32" s="1"/>
  <c r="C41" i="12" s="1"/>
  <c r="B36" i="31"/>
  <c r="A56" i="12" s="1"/>
  <c r="B33" i="31"/>
  <c r="A49" i="12" s="1"/>
  <c r="B30" i="31"/>
  <c r="B32" i="31"/>
  <c r="A55" i="12" s="1"/>
  <c r="V13" i="18"/>
  <c r="AD13" i="18" s="1"/>
  <c r="U13" i="18"/>
  <c r="AA13" i="18" s="1"/>
  <c r="AB13" i="18"/>
  <c r="AE13" i="18"/>
  <c r="B34" i="31"/>
  <c r="U6" i="18"/>
  <c r="AA6" i="18" s="1"/>
  <c r="AC6" i="18"/>
  <c r="T5" i="18"/>
  <c r="T25" i="18"/>
  <c r="T22" i="18"/>
  <c r="T7" i="18"/>
  <c r="T8" i="18"/>
  <c r="T15" i="18"/>
  <c r="T23" i="18"/>
  <c r="T16" i="18"/>
  <c r="T24" i="18"/>
  <c r="T17" i="18"/>
  <c r="T10" i="18"/>
  <c r="T18" i="18"/>
  <c r="X6" i="18"/>
  <c r="T26" i="18"/>
  <c r="T12" i="18"/>
  <c r="T9" i="18"/>
  <c r="B240" i="31"/>
  <c r="V11" i="18"/>
  <c r="AD11" i="18" s="1"/>
  <c r="X11" i="18"/>
  <c r="AB11" i="18"/>
  <c r="B241" i="31"/>
  <c r="AE11" i="18"/>
  <c r="AC13" i="18"/>
  <c r="T28" i="18"/>
  <c r="T21" i="18"/>
  <c r="T29" i="18"/>
  <c r="T31" i="18"/>
  <c r="T14" i="18"/>
  <c r="T27" i="18"/>
  <c r="T30" i="18"/>
  <c r="T19" i="18"/>
  <c r="T20" i="18"/>
  <c r="AB6" i="18"/>
  <c r="T32" i="18"/>
  <c r="AC11" i="18"/>
  <c r="AE6" i="18"/>
  <c r="A43" i="12"/>
  <c r="A35" i="12"/>
  <c r="B37" i="31"/>
  <c r="B31" i="31"/>
  <c r="A51" i="12" s="1"/>
  <c r="D39" i="32"/>
  <c r="AF34" i="18"/>
  <c r="AF33" i="18"/>
  <c r="A50" i="12" l="1"/>
  <c r="A19" i="28"/>
  <c r="A54" i="12"/>
  <c r="A53" i="12"/>
  <c r="A52" i="12"/>
  <c r="AF13" i="18"/>
  <c r="AF6" i="18"/>
  <c r="AG6" i="18" s="1"/>
  <c r="AI6" i="18" s="1"/>
  <c r="AJ6" i="18" s="1"/>
  <c r="R6" i="18" s="1"/>
  <c r="AF11" i="18"/>
  <c r="AG11" i="18" s="1"/>
  <c r="AI11" i="18" s="1"/>
  <c r="AJ11" i="18" s="1"/>
  <c r="R11" i="18" s="1"/>
  <c r="U26" i="18"/>
  <c r="AA26" i="18" s="1"/>
  <c r="X26" i="18"/>
  <c r="AE26" i="18"/>
  <c r="V26" i="18"/>
  <c r="AD26" i="18" s="1"/>
  <c r="AB26" i="18"/>
  <c r="AC26" i="18"/>
  <c r="V15" i="18"/>
  <c r="AD15" i="18" s="1"/>
  <c r="AE15" i="18"/>
  <c r="AB15" i="18"/>
  <c r="AC15" i="18"/>
  <c r="X15" i="18"/>
  <c r="U15" i="18"/>
  <c r="AA15" i="18" s="1"/>
  <c r="U14" i="18"/>
  <c r="AA14" i="18" s="1"/>
  <c r="X14" i="18"/>
  <c r="AC14" i="18"/>
  <c r="AB14" i="18"/>
  <c r="V14" i="18"/>
  <c r="AD14" i="18" s="1"/>
  <c r="AE14" i="18"/>
  <c r="AE31" i="18"/>
  <c r="AB31" i="18"/>
  <c r="V31" i="18"/>
  <c r="AD31" i="18" s="1"/>
  <c r="X31" i="18"/>
  <c r="U31" i="18"/>
  <c r="AA31" i="18" s="1"/>
  <c r="AC8" i="18"/>
  <c r="U8" i="18"/>
  <c r="AA8" i="18" s="1"/>
  <c r="X8" i="18"/>
  <c r="AE8" i="18"/>
  <c r="V8" i="18"/>
  <c r="AD8" i="18" s="1"/>
  <c r="AB8" i="18"/>
  <c r="AE18" i="18"/>
  <c r="V18" i="18"/>
  <c r="AD18" i="18" s="1"/>
  <c r="X18" i="18"/>
  <c r="AC18" i="18"/>
  <c r="U18" i="18"/>
  <c r="AA18" i="18" s="1"/>
  <c r="AB18" i="18"/>
  <c r="X20" i="18"/>
  <c r="AB20" i="18"/>
  <c r="U20" i="18"/>
  <c r="AA20" i="18" s="1"/>
  <c r="AE20" i="18"/>
  <c r="V20" i="18"/>
  <c r="AD20" i="18" s="1"/>
  <c r="U28" i="18"/>
  <c r="AA28" i="18" s="1"/>
  <c r="V28" i="18"/>
  <c r="AD28" i="18" s="1"/>
  <c r="AC28" i="18"/>
  <c r="AE28" i="18"/>
  <c r="X28" i="18"/>
  <c r="AB28" i="18"/>
  <c r="AC20" i="18"/>
  <c r="X17" i="18"/>
  <c r="U17" i="18"/>
  <c r="AA17" i="18" s="1"/>
  <c r="AE17" i="18"/>
  <c r="V17" i="18"/>
  <c r="AD17" i="18" s="1"/>
  <c r="AB17" i="18"/>
  <c r="AC17" i="18"/>
  <c r="AB25" i="18"/>
  <c r="X25" i="18"/>
  <c r="AC25" i="18"/>
  <c r="U25" i="18"/>
  <c r="AA25" i="18" s="1"/>
  <c r="AE25" i="18"/>
  <c r="V25" i="18"/>
  <c r="AD25" i="18" s="1"/>
  <c r="AE29" i="18"/>
  <c r="X29" i="18"/>
  <c r="U29" i="18"/>
  <c r="AA29" i="18" s="1"/>
  <c r="AB29" i="18"/>
  <c r="V29" i="18"/>
  <c r="AD29" i="18" s="1"/>
  <c r="AC29" i="18"/>
  <c r="AC21" i="18"/>
  <c r="AE21" i="18"/>
  <c r="AB21" i="18"/>
  <c r="X21" i="18"/>
  <c r="V21" i="18"/>
  <c r="AD21" i="18" s="1"/>
  <c r="U21" i="18"/>
  <c r="AA21" i="18" s="1"/>
  <c r="X10" i="18"/>
  <c r="U10" i="18"/>
  <c r="AA10" i="18" s="1"/>
  <c r="AB10" i="18"/>
  <c r="AC10" i="18"/>
  <c r="AE10" i="18"/>
  <c r="V10" i="18"/>
  <c r="AD10" i="18" s="1"/>
  <c r="AE19" i="18"/>
  <c r="AC19" i="18"/>
  <c r="X19" i="18"/>
  <c r="V19" i="18"/>
  <c r="AD19" i="18" s="1"/>
  <c r="U19" i="18"/>
  <c r="AA19" i="18" s="1"/>
  <c r="AB19" i="18"/>
  <c r="X24" i="18"/>
  <c r="U24" i="18"/>
  <c r="AA24" i="18" s="1"/>
  <c r="AB24" i="18"/>
  <c r="AE24" i="18"/>
  <c r="AC24" i="18"/>
  <c r="V24" i="18"/>
  <c r="AD24" i="18" s="1"/>
  <c r="AC5" i="18"/>
  <c r="V5" i="18"/>
  <c r="AD5" i="18" s="1"/>
  <c r="AE5" i="18"/>
  <c r="U5" i="18"/>
  <c r="AA5" i="18" s="1"/>
  <c r="AB5" i="18"/>
  <c r="X5" i="18"/>
  <c r="U32" i="18"/>
  <c r="AA32" i="18" s="1"/>
  <c r="AB32" i="18"/>
  <c r="AE32" i="18"/>
  <c r="X32" i="18"/>
  <c r="V32" i="18"/>
  <c r="AD32" i="18" s="1"/>
  <c r="AC32" i="18"/>
  <c r="V7" i="18"/>
  <c r="AD7" i="18" s="1"/>
  <c r="AC7" i="18"/>
  <c r="X7" i="18"/>
  <c r="AB7" i="18"/>
  <c r="U7" i="18"/>
  <c r="AA7" i="18" s="1"/>
  <c r="AE7" i="18"/>
  <c r="AE22" i="18"/>
  <c r="X22" i="18"/>
  <c r="AC22" i="18"/>
  <c r="AB22" i="18"/>
  <c r="V22" i="18"/>
  <c r="AD22" i="18" s="1"/>
  <c r="U22" i="18"/>
  <c r="AA22" i="18" s="1"/>
  <c r="AE30" i="18"/>
  <c r="X30" i="18"/>
  <c r="AB30" i="18"/>
  <c r="V30" i="18"/>
  <c r="AD30" i="18" s="1"/>
  <c r="U30" i="18"/>
  <c r="AA30" i="18" s="1"/>
  <c r="AC30" i="18"/>
  <c r="AC31" i="18"/>
  <c r="AC9" i="18"/>
  <c r="U9" i="18"/>
  <c r="AA9" i="18" s="1"/>
  <c r="X9" i="18"/>
  <c r="AE9" i="18"/>
  <c r="AB9" i="18"/>
  <c r="V9" i="18"/>
  <c r="AD9" i="18" s="1"/>
  <c r="AC16" i="18"/>
  <c r="V16" i="18"/>
  <c r="AD16" i="18" s="1"/>
  <c r="AE16" i="18"/>
  <c r="U16" i="18"/>
  <c r="AA16" i="18" s="1"/>
  <c r="X16" i="18"/>
  <c r="AB16" i="18"/>
  <c r="U27" i="18"/>
  <c r="AA27" i="18" s="1"/>
  <c r="V27" i="18"/>
  <c r="AD27" i="18" s="1"/>
  <c r="AC27" i="18"/>
  <c r="AB27" i="18"/>
  <c r="X27" i="18"/>
  <c r="AE27" i="18"/>
  <c r="U12" i="18"/>
  <c r="AA12" i="18" s="1"/>
  <c r="X12" i="18"/>
  <c r="AE12" i="18"/>
  <c r="AB12" i="18"/>
  <c r="AC12" i="18"/>
  <c r="V12" i="18"/>
  <c r="AD12" i="18" s="1"/>
  <c r="AE23" i="18"/>
  <c r="AB23" i="18"/>
  <c r="V23" i="18"/>
  <c r="AD23" i="18" s="1"/>
  <c r="U23" i="18"/>
  <c r="AA23" i="18" s="1"/>
  <c r="X23" i="18"/>
  <c r="AC23" i="18"/>
  <c r="A57" i="12"/>
  <c r="C42" i="12"/>
  <c r="H39" i="32"/>
  <c r="AF5" i="18" l="1"/>
  <c r="AG5" i="18" s="1"/>
  <c r="AI5" i="18" s="1"/>
  <c r="AJ5" i="18" s="1"/>
  <c r="R5" i="18" s="1"/>
  <c r="AF26" i="18"/>
  <c r="AG26" i="18" s="1"/>
  <c r="AI26" i="18" s="1"/>
  <c r="AJ26" i="18" s="1"/>
  <c r="R26" i="18" s="1"/>
  <c r="AF27" i="18"/>
  <c r="AG27" i="18" s="1"/>
  <c r="AI27" i="18" s="1"/>
  <c r="AJ27" i="18" s="1"/>
  <c r="R27" i="18" s="1"/>
  <c r="AF29" i="18"/>
  <c r="AG29" i="18" s="1"/>
  <c r="AI29" i="18" s="1"/>
  <c r="AJ29" i="18" s="1"/>
  <c r="R29" i="18" s="1"/>
  <c r="AF20" i="18"/>
  <c r="AG20" i="18" s="1"/>
  <c r="AI20" i="18" s="1"/>
  <c r="AJ20" i="18" s="1"/>
  <c r="R20" i="18" s="1"/>
  <c r="AF12" i="18"/>
  <c r="AG12" i="18" s="1"/>
  <c r="AI12" i="18" s="1"/>
  <c r="AJ12" i="18" s="1"/>
  <c r="R12" i="18" s="1"/>
  <c r="AF14" i="18"/>
  <c r="AG14" i="18" s="1"/>
  <c r="AI14" i="18" s="1"/>
  <c r="AJ14" i="18" s="1"/>
  <c r="R14" i="18" s="1"/>
  <c r="AF7" i="18"/>
  <c r="AG7" i="18" s="1"/>
  <c r="AI7" i="18" s="1"/>
  <c r="AJ7" i="18" s="1"/>
  <c r="R7" i="18" s="1"/>
  <c r="AF24" i="18"/>
  <c r="AG24" i="18" s="1"/>
  <c r="AI24" i="18" s="1"/>
  <c r="AJ24" i="18" s="1"/>
  <c r="R24" i="18" s="1"/>
  <c r="AF28" i="18"/>
  <c r="AG28" i="18" s="1"/>
  <c r="AI28" i="18" s="1"/>
  <c r="AJ28" i="18" s="1"/>
  <c r="R28" i="18" s="1"/>
  <c r="AF9" i="18"/>
  <c r="AG9" i="18" s="1"/>
  <c r="AI9" i="18" s="1"/>
  <c r="AJ9" i="18" s="1"/>
  <c r="R9" i="18" s="1"/>
  <c r="AF22" i="18"/>
  <c r="AG22" i="18" s="1"/>
  <c r="AI22" i="18" s="1"/>
  <c r="AJ22" i="18" s="1"/>
  <c r="R22" i="18" s="1"/>
  <c r="AF19" i="18"/>
  <c r="AG19" i="18" s="1"/>
  <c r="AI19" i="18" s="1"/>
  <c r="AJ19" i="18" s="1"/>
  <c r="R19" i="18" s="1"/>
  <c r="AF15" i="18"/>
  <c r="AG15" i="18" s="1"/>
  <c r="AI15" i="18" s="1"/>
  <c r="AJ15" i="18" s="1"/>
  <c r="R15" i="18" s="1"/>
  <c r="AF32" i="18"/>
  <c r="AG32" i="18" s="1"/>
  <c r="AI32" i="18" s="1"/>
  <c r="AJ32" i="18" s="1"/>
  <c r="R32" i="18" s="1"/>
  <c r="AF10" i="18"/>
  <c r="AG10" i="18" s="1"/>
  <c r="AI10" i="18" s="1"/>
  <c r="AJ10" i="18" s="1"/>
  <c r="R10" i="18" s="1"/>
  <c r="AF25" i="18"/>
  <c r="AG25" i="18" s="1"/>
  <c r="AI25" i="18" s="1"/>
  <c r="AJ25" i="18" s="1"/>
  <c r="R25" i="18" s="1"/>
  <c r="AF17" i="18"/>
  <c r="AG17" i="18" s="1"/>
  <c r="AI17" i="18" s="1"/>
  <c r="AJ17" i="18" s="1"/>
  <c r="R17" i="18" s="1"/>
  <c r="AF18" i="18"/>
  <c r="AG18" i="18" s="1"/>
  <c r="AI18" i="18" s="1"/>
  <c r="AJ18" i="18" s="1"/>
  <c r="R18" i="18" s="1"/>
  <c r="AF16" i="18"/>
  <c r="AG16" i="18" s="1"/>
  <c r="AI16" i="18" s="1"/>
  <c r="AJ16" i="18" s="1"/>
  <c r="R16" i="18" s="1"/>
  <c r="AF8" i="18"/>
  <c r="AG8" i="18" s="1"/>
  <c r="AI8" i="18" s="1"/>
  <c r="AJ8" i="18" s="1"/>
  <c r="R8" i="18" s="1"/>
  <c r="AF23" i="18"/>
  <c r="AG23" i="18" s="1"/>
  <c r="AI23" i="18" s="1"/>
  <c r="AJ23" i="18" s="1"/>
  <c r="R23" i="18" s="1"/>
  <c r="AF30" i="18"/>
  <c r="AG30" i="18" s="1"/>
  <c r="AI30" i="18" s="1"/>
  <c r="AJ30" i="18" s="1"/>
  <c r="R30" i="18" s="1"/>
  <c r="AF21" i="18"/>
  <c r="AG21" i="18" s="1"/>
  <c r="AI21" i="18" s="1"/>
  <c r="AJ21" i="18" s="1"/>
  <c r="R21" i="18" s="1"/>
  <c r="AF31" i="18"/>
  <c r="AG31" i="18" s="1"/>
  <c r="AI31" i="18" s="1"/>
  <c r="AJ31" i="18" s="1"/>
  <c r="R31" i="18" s="1"/>
  <c r="C43" i="12"/>
  <c r="P38" i="18"/>
  <c r="F39" i="18"/>
  <c r="N39" i="18" s="1"/>
  <c r="C34" i="12" s="1"/>
  <c r="F38" i="18"/>
  <c r="N38" i="18" s="1"/>
  <c r="C33" i="12" s="1"/>
  <c r="L35" i="32"/>
  <c r="AJ38" i="18"/>
  <c r="H38" i="18" s="1"/>
  <c r="G40" i="32" l="1"/>
  <c r="C45" i="12" s="1"/>
  <c r="D38" i="32"/>
  <c r="C36" i="12"/>
  <c r="P39" i="18"/>
  <c r="H39" i="18"/>
  <c r="M35" i="32"/>
  <c r="L38" i="32"/>
  <c r="M38" i="32" s="1"/>
  <c r="H38" i="32" s="1"/>
  <c r="C44" i="12" s="1"/>
  <c r="C35" i="12" l="1"/>
  <c r="N40" i="18"/>
  <c r="C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Severin Lenel</author>
  </authors>
  <commentList>
    <comment ref="A24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<sst xmlns="http://schemas.openxmlformats.org/spreadsheetml/2006/main" count="1663" uniqueCount="1143">
  <si>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</si>
  <si>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</si>
  <si>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</si>
  <si>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</si>
  <si>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</si>
  <si>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</si>
  <si>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</si>
  <si>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</si>
  <si>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</si>
  <si>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</si>
  <si>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</si>
  <si>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</si>
  <si>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</si>
  <si>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</si>
  <si>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</si>
  <si>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</si>
  <si>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</si>
  <si>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</si>
  <si>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</si>
  <si>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</si>
  <si>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</si>
  <si>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</si>
  <si>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</si>
  <si>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</si>
  <si>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</si>
  <si>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</si>
  <si>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</si>
  <si>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</si>
  <si>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</si>
  <si>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</si>
  <si>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</si>
  <si>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</si>
  <si>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</si>
  <si>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</si>
  <si>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</si>
  <si>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</si>
  <si>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</si>
  <si>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</si>
  <si>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</si>
  <si>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</si>
  <si>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</si>
  <si>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</si>
  <si>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</si>
  <si>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</si>
  <si>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</si>
  <si>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</si>
  <si>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</si>
  <si>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</si>
  <si>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</si>
  <si>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</si>
  <si>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</si>
  <si>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</si>
  <si>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</si>
  <si>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</si>
  <si>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</si>
  <si>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</si>
  <si>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</si>
  <si>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</si>
  <si>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</si>
  <si>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</si>
  <si>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</si>
  <si>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</si>
  <si>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</si>
  <si>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</si>
  <si>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</si>
  <si>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</si>
  <si>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</si>
  <si>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</si>
  <si>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</si>
  <si>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</si>
  <si>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</si>
  <si>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</si>
  <si>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</si>
  <si>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</si>
  <si>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</si>
  <si>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</si>
  <si>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</si>
  <si>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</si>
  <si>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</si>
  <si>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</si>
  <si>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</si>
  <si>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</si>
  <si>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</si>
  <si>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</si>
  <si>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</si>
  <si>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</si>
  <si>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</si>
  <si>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</si>
  <si>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</si>
  <si>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</si>
  <si>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</si>
  <si>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</si>
  <si>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</si>
  <si>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</si>
  <si>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</si>
  <si>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</si>
  <si>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</si>
  <si>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</si>
  <si>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</si>
  <si>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</si>
  <si>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</si>
  <si>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</si>
  <si>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</si>
  <si>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</si>
  <si>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</si>
  <si>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</si>
  <si>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</si>
  <si>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</si>
  <si>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</si>
  <si>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</si>
  <si>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</si>
  <si>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</si>
  <si>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</si>
  <si>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</si>
  <si>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</si>
  <si>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</si>
  <si>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</si>
  <si>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</si>
  <si>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</si>
  <si>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</si>
  <si>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</si>
  <si>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</si>
  <si>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</si>
  <si>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</si>
  <si>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</si>
  <si>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</si>
  <si>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</si>
  <si>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</si>
  <si>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</si>
  <si>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</si>
  <si>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</si>
  <si>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Summen</t>
  </si>
  <si>
    <t>Mindesterfüllung</t>
  </si>
  <si>
    <t>MaxUFläche</t>
  </si>
  <si>
    <t>Version</t>
  </si>
  <si>
    <t>Erfasste Raumfläche total</t>
  </si>
  <si>
    <t>m2</t>
  </si>
  <si>
    <t>Raumfläche mit ungenügendem Ergebnis</t>
  </si>
  <si>
    <t>%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</si>
  <si>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</si>
  <si>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</si>
  <si>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</si>
  <si>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</si>
  <si>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</si>
  <si>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</si>
  <si>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</si>
  <si>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</si>
  <si>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</si>
  <si>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</si>
  <si>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</si>
  <si>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</si>
  <si>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</si>
  <si>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</si>
  <si>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</si>
  <si>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</si>
  <si>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</si>
  <si>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</si>
  <si>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</si>
  <si>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</si>
  <si>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</si>
  <si>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</si>
  <si>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</si>
  <si>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</si>
  <si>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</si>
  <si>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A3</t>
  </si>
  <si>
    <t>A1</t>
  </si>
  <si>
    <t>A5</t>
  </si>
  <si>
    <t>A8</t>
  </si>
  <si>
    <t>A11</t>
  </si>
  <si>
    <t>A17</t>
  </si>
  <si>
    <t>A23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</si>
  <si>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</si>
  <si>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</si>
  <si>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</si>
  <si>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</si>
  <si>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</si>
  <si>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</si>
  <si>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</si>
  <si>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</si>
  <si>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</si>
  <si>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</si>
  <si>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</si>
  <si>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</si>
  <si>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</si>
  <si>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</si>
  <si>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</si>
  <si>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</si>
  <si>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</si>
  <si>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</si>
  <si>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</si>
  <si>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</si>
  <si>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</si>
  <si>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</si>
  <si>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</si>
  <si>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</si>
  <si>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</si>
  <si>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</si>
  <si>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</si>
  <si>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</si>
  <si>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</si>
  <si>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E3</t>
  </si>
  <si>
    <t>A7</t>
  </si>
  <si>
    <t>A9</t>
  </si>
  <si>
    <t>A13</t>
  </si>
  <si>
    <t>A19</t>
  </si>
  <si>
    <t>A21</t>
  </si>
  <si>
    <t>Bemerkung Typ</t>
  </si>
  <si>
    <t>JaNein</t>
  </si>
  <si>
    <t>B23</t>
  </si>
  <si>
    <t>C23</t>
  </si>
  <si>
    <t>D25</t>
  </si>
  <si>
    <t>D27</t>
  </si>
  <si>
    <t>D29</t>
  </si>
  <si>
    <t>Objet</t>
  </si>
  <si>
    <t>Projet</t>
  </si>
  <si>
    <t>Maître de l'ouvrage</t>
  </si>
  <si>
    <t>Architecte</t>
  </si>
  <si>
    <t>Planificateur électricité</t>
  </si>
  <si>
    <t>Planificateur éclairage</t>
  </si>
  <si>
    <t>Date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</si>
  <si>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</si>
  <si>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</si>
  <si>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</si>
  <si>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</si>
  <si>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</si>
  <si>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</si>
  <si>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</si>
  <si>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</si>
  <si>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</si>
  <si>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</si>
  <si>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</si>
  <si>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</si>
  <si>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</si>
  <si>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</si>
  <si>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</si>
  <si>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</si>
  <si>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</si>
  <si>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</si>
  <si>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</si>
  <si>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</si>
  <si>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>Quéstions</t>
  </si>
  <si>
    <t>Réponse</t>
  </si>
  <si>
    <t>Compte-rendu</t>
  </si>
  <si>
    <t>CET ONGLET NE DOIT ÊTRE REMPLI QUE DANS LE CAS D’UNE RÉNOVATION</t>
  </si>
  <si>
    <t>Habitat</t>
  </si>
  <si>
    <t>Administration</t>
  </si>
  <si>
    <t>École</t>
  </si>
  <si>
    <t>Bâtiments avec une faible proportion de fenêtres</t>
  </si>
  <si>
    <t>Bâtiment avec une proportion élevée de fenêtres</t>
  </si>
  <si>
    <t xml:space="preserve">Eine ausführliche Anleitung finden Sie auf der Minergie-Website.  </t>
  </si>
  <si>
    <t>Hauteur du linteau 
m</t>
  </si>
  <si>
    <t>Porte-à-faux
m</t>
  </si>
  <si>
    <t>Lumière zénithale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</si>
  <si>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</si>
  <si>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</si>
  <si>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</si>
  <si>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</si>
  <si>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</si>
  <si>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</si>
  <si>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</si>
  <si>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</si>
  <si>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</si>
  <si>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</si>
  <si>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</si>
  <si>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</si>
  <si>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</si>
  <si>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</si>
  <si>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</si>
  <si>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</si>
  <si>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</si>
  <si>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</si>
  <si>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</si>
  <si>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</si>
  <si>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</si>
  <si>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</si>
  <si>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</si>
  <si>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</si>
  <si>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</si>
  <si>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</si>
  <si>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</si>
  <si>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</si>
  <si>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</si>
  <si>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</si>
  <si>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</si>
  <si>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Rénovation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</si>
  <si>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</si>
  <si>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</si>
  <si>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</si>
  <si>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</si>
  <si>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 et à guidage des lamelles</t>
  </si>
  <si>
    <t>Motorisé, automatique, tenant compte de l'ombragement</t>
  </si>
  <si>
    <t>Motorisé à commande automatique</t>
  </si>
  <si>
    <t>Motorisé à actionnement manuel</t>
  </si>
  <si>
    <t>Manuel</t>
  </si>
  <si>
    <t>Abrév.
-</t>
  </si>
  <si>
    <t>Hau-teur
m</t>
  </si>
  <si>
    <t>Type
-</t>
  </si>
  <si>
    <t>Non</t>
  </si>
  <si>
    <t>Oui</t>
  </si>
  <si>
    <t>Dati Ogetto</t>
  </si>
  <si>
    <t>Progetto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</si>
  <si>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</si>
  <si>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</si>
  <si>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</si>
  <si>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</si>
  <si>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</si>
  <si>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</si>
  <si>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</si>
  <si>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</si>
  <si>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Procedimento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</si>
  <si>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</si>
  <si>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</si>
  <si>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</si>
  <si>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</si>
  <si>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</si>
  <si>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</si>
  <si>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</si>
  <si>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</si>
  <si>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</si>
  <si>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Object data</t>
  </si>
  <si>
    <t>Project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</si>
  <si>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</si>
  <si>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</si>
  <si>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</si>
  <si>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</si>
  <si>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</si>
  <si>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</si>
  <si>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</si>
  <si>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>Quick guide</t>
  </si>
  <si>
    <t>Window data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</si>
  <si>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</si>
  <si>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</si>
  <si>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</si>
  <si>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</si>
  <si>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</si>
  <si>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</si>
  <si>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</si>
  <si>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</si>
  <si>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</si>
  <si>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</si>
  <si>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</si>
  <si>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</si>
  <si>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</si>
  <si>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</si>
  <si>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</si>
  <si>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</si>
  <si>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</si>
  <si>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</si>
  <si>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</si>
  <si>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</si>
  <si>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</si>
  <si>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</si>
  <si>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</si>
  <si>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</si>
  <si>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</si>
  <si>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</si>
  <si>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</si>
  <si>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</si>
  <si>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</si>
  <si>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</si>
  <si>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</si>
  <si>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 locali sono dipinti con colori chiari?</t>
  </si>
  <si>
    <t>QUESTO FOGLIO DEVE ESSERE COMPLETATO UNICAMENTE IN CASO DI AMMODERNAMENTO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</si>
  <si>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</si>
  <si>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</si>
  <si>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</si>
  <si>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</si>
  <si>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</si>
  <si>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</si>
  <si>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</si>
  <si>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</si>
  <si>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</si>
  <si>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</si>
  <si>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</si>
  <si>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</si>
  <si>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</si>
  <si>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</si>
  <si>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</si>
  <si>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</si>
  <si>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</si>
  <si>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</si>
  <si>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</si>
  <si>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</si>
  <si>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</si>
  <si>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</si>
  <si>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</si>
  <si>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</si>
  <si>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</si>
  <si>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</si>
  <si>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</si>
  <si>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</si>
  <si>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</si>
  <si>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</si>
  <si>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</si>
  <si>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</si>
  <si>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</si>
  <si>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</si>
  <si>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</si>
  <si>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</si>
  <si>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</si>
  <si>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</si>
  <si>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</si>
  <si>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</si>
  <si>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</si>
  <si>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</si>
  <si>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</si>
  <si>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</si>
  <si>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</si>
  <si>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</si>
  <si>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</si>
  <si>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</si>
  <si>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</si>
  <si>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</si>
  <si>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</si>
  <si>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</si>
  <si>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</si>
  <si>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</si>
  <si>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</si>
  <si>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</si>
  <si>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</si>
  <si>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</si>
  <si>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</si>
  <si>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</si>
  <si>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</si>
  <si>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</si>
  <si>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</si>
  <si>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</si>
  <si>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</si>
  <si>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</si>
  <si>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</si>
  <si>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</si>
  <si>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</si>
  <si>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</si>
  <si>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</si>
  <si>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</si>
  <si>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</si>
  <si>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</si>
  <si>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</si>
  <si>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</si>
  <si>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</si>
  <si>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</si>
  <si>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</si>
  <si>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</si>
  <si>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</si>
  <si>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</si>
  <si>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</si>
  <si>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</si>
  <si>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</si>
  <si>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</si>
  <si>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</si>
  <si>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</si>
  <si>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</si>
  <si>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</si>
  <si>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</si>
  <si>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</si>
  <si>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</si>
  <si>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</si>
  <si>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</si>
  <si>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</si>
  <si>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</si>
  <si>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</si>
  <si>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</si>
  <si>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</si>
  <si>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</si>
  <si>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</si>
  <si>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</si>
  <si>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</si>
  <si>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</si>
  <si>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</si>
  <si>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</si>
  <si>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</si>
  <si>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</si>
  <si>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</si>
  <si>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</si>
  <si>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</si>
  <si>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</si>
  <si>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</si>
  <si>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</si>
  <si>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</si>
  <si>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</si>
  <si>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</si>
  <si>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</si>
  <si>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</si>
  <si>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</si>
  <si>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</si>
  <si>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</si>
  <si>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</si>
  <si>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</si>
  <si>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</si>
  <si>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</si>
  <si>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</si>
  <si>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</si>
  <si>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</si>
  <si>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</si>
  <si>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</si>
  <si>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</si>
  <si>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</si>
  <si>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</si>
  <si>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</si>
  <si>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</si>
  <si>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</si>
  <si>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</si>
  <si>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</si>
  <si>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</si>
  <si>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</si>
  <si>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</si>
  <si>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</si>
  <si>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</si>
  <si>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</si>
  <si>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</si>
  <si>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</si>
  <si>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</si>
  <si>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</si>
  <si>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</si>
  <si>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</si>
  <si>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</si>
  <si>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</si>
  <si>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</si>
  <si>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</si>
  <si>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</si>
  <si>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</si>
  <si>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</si>
  <si>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</si>
  <si>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</si>
  <si>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</si>
  <si>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</si>
  <si>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</si>
  <si>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</si>
  <si>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</si>
  <si>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</si>
  <si>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</si>
  <si>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</si>
  <si>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</si>
  <si>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</si>
  <si>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</si>
  <si>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</si>
  <si>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</si>
  <si>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</si>
  <si>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</si>
  <si>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</si>
  <si>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B5:B39</t>
  </si>
  <si>
    <t>C5:C39</t>
  </si>
  <si>
    <t>D5:D39</t>
  </si>
  <si>
    <t>E5:E39</t>
  </si>
  <si>
    <t>F5:F39</t>
  </si>
  <si>
    <t>G5:G39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</si>
  <si>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</si>
  <si>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</si>
  <si>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</si>
  <si>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</si>
  <si>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</si>
  <si>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</si>
  <si>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</si>
  <si>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</si>
  <si>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</si>
  <si>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</si>
  <si>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</si>
  <si>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Bitte geben Sie eine Bezeichnung für das Fenster ein</t>
  </si>
  <si>
    <t>Sie dürfen nur maximal 25 Zeichen eingeben.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</si>
  <si>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</si>
  <si>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</si>
  <si>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</si>
  <si>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</si>
  <si>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</si>
  <si>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</si>
  <si>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</si>
  <si>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</si>
  <si>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</si>
  <si>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</si>
  <si>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</si>
  <si>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</si>
  <si>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</si>
  <si>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</si>
  <si>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</si>
  <si>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</si>
  <si>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</si>
  <si>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Nurse room</t>
  </si>
  <si>
    <t>Furniture, Hardware, Gardening Store</t>
  </si>
  <si>
    <t>Presentation room</t>
  </si>
  <si>
    <t>Living Room, Bedroom</t>
  </si>
  <si>
    <t>Bitte beachten Sie die beim Anklicken der Eingabefelder erscheinenden Hilfstexte.</t>
  </si>
  <si>
    <t>Bei Fragen zu Zertifizierungsobjekten steht Ihnen die zuständige Zertifizierungsstelle gerne zur Verfügung.</t>
  </si>
  <si>
    <t>Errore</t>
  </si>
  <si>
    <t>Denominazione</t>
  </si>
  <si>
    <t>Inserisci un nome per la finestra</t>
  </si>
  <si>
    <t>È possibile immettere al massimo 25 caratteri.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</si>
  <si>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</si>
  <si>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</si>
  <si>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</si>
  <si>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</si>
  <si>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</si>
  <si>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</si>
  <si>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</si>
  <si>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</si>
  <si>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</si>
  <si>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</si>
  <si>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</si>
  <si>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</si>
  <si>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</si>
  <si>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</si>
  <si>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</si>
  <si>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</si>
  <si>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</si>
  <si>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</si>
  <si>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</si>
  <si>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</si>
  <si>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</si>
  <si>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</si>
  <si>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</si>
  <si>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</si>
  <si>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</si>
  <si>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</si>
  <si>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</si>
  <si>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</si>
  <si>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</si>
  <si>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</si>
  <si>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</si>
  <si>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</si>
  <si>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</si>
  <si>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</si>
  <si>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</si>
  <si>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</si>
  <si>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</si>
  <si>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</si>
  <si>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</si>
  <si>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</si>
  <si>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</si>
  <si>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</si>
  <si>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</si>
  <si>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</si>
  <si>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</si>
  <si>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</si>
  <si>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</si>
  <si>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</si>
  <si>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</si>
  <si>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</si>
  <si>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</si>
  <si>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</si>
  <si>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</si>
  <si>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</si>
  <si>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</si>
  <si>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</si>
  <si>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</si>
  <si>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</si>
  <si>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</si>
  <si>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</si>
  <si>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</si>
  <si>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</si>
  <si>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Designazione locale
-</t>
  </si>
  <si>
    <t>Room description
-</t>
  </si>
  <si>
    <t>Superfi-cie
m2</t>
  </si>
  <si>
    <t>Nr.
-</t>
  </si>
  <si>
    <t>Utilizzo
-</t>
  </si>
  <si>
    <t>Riflessi-one
-</t>
  </si>
  <si>
    <t>Si prega di leggere gli aiuti che appaiono quando si clicca su un camp di immissione.</t>
  </si>
  <si>
    <t>Se avete domande sugli oggetti di certificazione, contattate il centro di certificazione competente.</t>
  </si>
  <si>
    <t>Please consider the help texts which appear as soon as you click on a cell.</t>
  </si>
  <si>
    <t>If you have questions on certified objects, don't hesitate to ask the staff of the certification offices.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</si>
  <si>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</si>
  <si>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</si>
  <si>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</si>
  <si>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</si>
  <si>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</si>
  <si>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</si>
  <si>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</si>
  <si>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Please enter a description for the window.</t>
  </si>
  <si>
    <t>You must not enter more than 25 characters.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</si>
  <si>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</si>
  <si>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</si>
  <si>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</si>
  <si>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</si>
  <si>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</si>
  <si>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</si>
  <si>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</si>
  <si>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</si>
  <si>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</si>
  <si>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</si>
  <si>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</si>
  <si>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</si>
  <si>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</si>
  <si>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</si>
  <si>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</si>
  <si>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</si>
  <si>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</si>
  <si>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</si>
  <si>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</si>
  <si>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</si>
  <si>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</si>
  <si>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Illuminazione_naturale</t>
  </si>
  <si>
    <t>Lumière_du_jour</t>
  </si>
  <si>
    <t>Des textes d'aide apparaissent lorsque vous cliquez sur les zones de saisie.</t>
  </si>
  <si>
    <t>Erreur</t>
  </si>
  <si>
    <t>Désignation</t>
  </si>
  <si>
    <t>Veuillez saisir un nom pour la fenêtre</t>
  </si>
  <si>
    <t>Vous ne pouvez saisir que 25 caractères au maximum.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</si>
  <si>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</si>
  <si>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</si>
  <si>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</si>
  <si>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</si>
  <si>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</si>
  <si>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</si>
  <si>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</si>
  <si>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</si>
  <si>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</si>
  <si>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</si>
  <si>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</si>
  <si>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</si>
  <si>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</si>
  <si>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</si>
  <si>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</si>
  <si>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</si>
  <si>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</si>
  <si>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</si>
  <si>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</si>
  <si>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</si>
  <si>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</si>
  <si>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</si>
  <si>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</si>
  <si>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</si>
  <si>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</si>
  <si>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</si>
  <si>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</si>
  <si>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</si>
  <si>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</si>
  <si>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</si>
  <si>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</si>
  <si>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</si>
  <si>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</si>
  <si>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</si>
  <si>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</si>
  <si>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</si>
  <si>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</si>
  <si>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</si>
  <si>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</si>
  <si>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</si>
  <si>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</si>
  <si>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</si>
  <si>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</si>
  <si>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</si>
  <si>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</si>
  <si>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</si>
  <si>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</si>
  <si>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</si>
  <si>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</si>
  <si>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</si>
  <si>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</si>
  <si>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</si>
  <si>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</si>
  <si>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</si>
  <si>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</si>
  <si>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</si>
  <si>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</si>
  <si>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</si>
  <si>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</si>
  <si>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</si>
  <si>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</si>
  <si>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</si>
  <si>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</si>
  <si>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</si>
  <si>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</si>
  <si>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</si>
  <si>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</si>
  <si>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</si>
  <si>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</si>
  <si>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</si>
  <si>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</si>
  <si>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</si>
  <si>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</si>
  <si>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</si>
  <si>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</si>
  <si>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</si>
  <si>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</si>
  <si>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</si>
  <si>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</si>
  <si>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</si>
  <si>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</si>
  <si>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</si>
  <si>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</si>
  <si>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</si>
  <si>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</si>
  <si>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</si>
  <si>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Non sono previsti nuovi elementi che ombreggiano la facciata (es. balconi, gronde, sporgenze…) ?</t>
  </si>
  <si>
    <t>well fulfilled</t>
  </si>
  <si>
    <t>fulfilled</t>
  </si>
  <si>
    <t>not met</t>
  </si>
  <si>
    <t>Questionnaire_rénovation</t>
  </si>
  <si>
    <t>Questionario_ammodernamento</t>
  </si>
  <si>
    <t>Questionaire_renovations</t>
  </si>
  <si>
    <t>Dayl. auton.
%</t>
  </si>
  <si>
    <t>Fenster-breite ges. m</t>
  </si>
  <si>
    <t>Sichtebene</t>
  </si>
  <si>
    <t>Sichtebenen
-</t>
  </si>
  <si>
    <t>Aussichtsebene</t>
  </si>
  <si>
    <t>Landschaft und Boden</t>
  </si>
  <si>
    <t>Landschaft und Himmel</t>
  </si>
  <si>
    <t>Landschaft, Boden und Himmel</t>
  </si>
  <si>
    <t>Nur Landschaft</t>
  </si>
  <si>
    <t>Nur Boden</t>
  </si>
  <si>
    <t>Nur Himmel</t>
  </si>
  <si>
    <t>Boden und Himmel</t>
  </si>
  <si>
    <t>Ergebnis
-</t>
  </si>
  <si>
    <t>Sichtwinkel
°</t>
  </si>
  <si>
    <t>Sichtweite
m</t>
  </si>
  <si>
    <t>Ergebnis
Punkte</t>
  </si>
  <si>
    <t>Fensterbreite ges.
m</t>
  </si>
  <si>
    <t>Tabelle Ausblick</t>
  </si>
  <si>
    <t>Only landscape</t>
  </si>
  <si>
    <t>Landscape and sky</t>
  </si>
  <si>
    <t>Only sky</t>
  </si>
  <si>
    <t>Paysage et ciel</t>
  </si>
  <si>
    <t>Seul ciel</t>
  </si>
  <si>
    <t>Seul paysage</t>
  </si>
  <si>
    <t>Solo paesaggio</t>
  </si>
  <si>
    <t>Paesaggio e cielo</t>
  </si>
  <si>
    <t>Solo cielo</t>
  </si>
  <si>
    <t>Paesaggio e terra</t>
  </si>
  <si>
    <t>Paesaggio, terra e cielo</t>
  </si>
  <si>
    <t>Solo terra</t>
  </si>
  <si>
    <t>terra e cielo</t>
  </si>
  <si>
    <t>Paysage et terre</t>
  </si>
  <si>
    <t>Paysage, terre et ciel</t>
  </si>
  <si>
    <t>Seul terre</t>
  </si>
  <si>
    <t>terre et ciel</t>
  </si>
  <si>
    <t>Landscape and ground</t>
  </si>
  <si>
    <t>Landscape, ground and sky</t>
  </si>
  <si>
    <t>Only ground</t>
  </si>
  <si>
    <t>ground and sky</t>
  </si>
  <si>
    <t>Typische Räume und Ausblick</t>
  </si>
  <si>
    <t>Room types and views</t>
  </si>
  <si>
    <t>Locali tipo e prospettive</t>
  </si>
  <si>
    <t>Profondità dell'area usata</t>
  </si>
  <si>
    <t>Profondità dell'area usata
m</t>
  </si>
  <si>
    <t>Depth of used area</t>
  </si>
  <si>
    <t>Depth of used area
m</t>
  </si>
  <si>
    <t>Visual range</t>
  </si>
  <si>
    <t>Raggio visivo</t>
  </si>
  <si>
    <t>Raggio visivo
m</t>
  </si>
  <si>
    <t>Visual range
m</t>
  </si>
  <si>
    <t>Livelli di visione
-</t>
  </si>
  <si>
    <t>Viewing levels
-</t>
  </si>
  <si>
    <t>Qualität des Ausblicks (über alle Räume)</t>
  </si>
  <si>
    <t>Qualità della vista (in tutte le locali)</t>
  </si>
  <si>
    <t>Quality of views (in all rooms)</t>
  </si>
  <si>
    <t>C3</t>
  </si>
  <si>
    <t>Resultat
-</t>
  </si>
  <si>
    <t>Résultat
-</t>
  </si>
  <si>
    <t>Risultato
-</t>
  </si>
  <si>
    <t>Result
-</t>
  </si>
  <si>
    <t>Raumfläche total
m2</t>
  </si>
  <si>
    <t>Ausblickqualitaet</t>
  </si>
  <si>
    <t>E36</t>
  </si>
  <si>
    <t>E37</t>
  </si>
  <si>
    <t>G37</t>
  </si>
  <si>
    <t>C36</t>
  </si>
  <si>
    <t>G36</t>
  </si>
  <si>
    <t>C37</t>
  </si>
  <si>
    <t>D37</t>
  </si>
  <si>
    <t>Aussichtsqualität</t>
  </si>
  <si>
    <t>Resultat
Pt.</t>
  </si>
  <si>
    <t>Résultat
Pt.</t>
  </si>
  <si>
    <t>Risultato
Pt.</t>
  </si>
  <si>
    <t>Result
Pt.</t>
  </si>
  <si>
    <t>Tiefe genutzter Bereich</t>
  </si>
  <si>
    <t>Geben Sie die Tiefe der von Personen dauernd genutzten Bereiche (gemessen ab Fassade) ein.</t>
  </si>
  <si>
    <t>Sichtweite</t>
  </si>
  <si>
    <t>Geben Sie den Abstand zum nächsten Objekt (gemessen ab Fassade) ein.</t>
  </si>
  <si>
    <t>Sie müssen ganzzahlige Werte zwischen 0 und 9999 eingeben.</t>
  </si>
  <si>
    <t>Wählen Sie die vom entferntesten Punkt aus in einer Höhe von 1.2 Meter (sitzende Tätigkeit) bzw. 1.7 Meter (stehende Tätigkeit) beim Blick durchs Fenster sichtbaren Ebenen.</t>
  </si>
  <si>
    <t>Niveaux de vision</t>
  </si>
  <si>
    <t>Livelli di visione</t>
  </si>
  <si>
    <t>Viewing levels</t>
  </si>
  <si>
    <t>Enter the distance to the next object (measured from the facade).</t>
  </si>
  <si>
    <t>Immettere la distanza dall'oggetto successivo (misurata dalla facciata).</t>
  </si>
  <si>
    <t>You must enter integer values between 0 and 999.</t>
  </si>
  <si>
    <t>Immettere la profondità delle aree utilizzate in permanenza dalle persone (misurata dalla facciata).</t>
  </si>
  <si>
    <t>Entrez la profondeur des zones utilisées en permanence par les personnes (mesurée à partir de la façade).</t>
  </si>
  <si>
    <t>Enter the depth of the areas permanently used by people (measured from the façade).</t>
  </si>
  <si>
    <t>Select the planes visible from the furthest point at a height of 1.2 metres (sitting activity) or 1.7 metres (standing activity) when looking through the window.</t>
  </si>
  <si>
    <t>Selezionare i livelli visibili dal punto più lontano ad un'altezza di 1,2 metri (attività da seduti) o 1,7 metri (attività in piedi) quando si guarda attraverso la finestra.</t>
  </si>
  <si>
    <t>Sélectionnez les niveaux visibles du point le plus éloigné à une hauteur de 1,2 mètre (activité assise) ou de 1,7 mètre (activité debout) lorsque vous regardez par la fenêtre.</t>
  </si>
  <si>
    <t>Zusammenfassung der Ergebnisse Tageslicht</t>
  </si>
  <si>
    <t>Riassunto illuminazione naturale</t>
  </si>
  <si>
    <t>Overview Daylight</t>
  </si>
  <si>
    <t>Ausblick</t>
  </si>
  <si>
    <t>Views</t>
  </si>
  <si>
    <t>Vues</t>
  </si>
  <si>
    <t>Prospettive</t>
  </si>
  <si>
    <t>A49</t>
  </si>
  <si>
    <t>A51</t>
  </si>
  <si>
    <t>A52</t>
  </si>
  <si>
    <t>A53</t>
  </si>
  <si>
    <t>A54</t>
  </si>
  <si>
    <t>Zusammenfassung der Ergebnisse Ausblick</t>
  </si>
  <si>
    <t>Versionierung</t>
  </si>
  <si>
    <t>Versions-Nr.</t>
  </si>
  <si>
    <t>Beschrieb der Anpassungen</t>
  </si>
  <si>
    <t xml:space="preserve">Datum </t>
  </si>
  <si>
    <t>Zuständig</t>
  </si>
  <si>
    <t>Tool neu erstellt</t>
  </si>
  <si>
    <t>Ausblick ergänzt, Versionierung ergänzt</t>
  </si>
  <si>
    <t>D1</t>
  </si>
  <si>
    <t>A55</t>
  </si>
  <si>
    <t>Riassunto prospettive</t>
  </si>
  <si>
    <t>Overview views</t>
  </si>
  <si>
    <t>Profond. de la surface utilisée</t>
  </si>
  <si>
    <t>Ergänzungen Raumnutzungen unter Terrain, Korrektur Fehler Blatt Fenster</t>
  </si>
  <si>
    <t>Kein Sonnenschutz</t>
  </si>
  <si>
    <t>Pas de protection solaire</t>
  </si>
  <si>
    <t>Nessuna protezione solare</t>
  </si>
  <si>
    <t>No solar protection</t>
  </si>
  <si>
    <t>Auswahl SoSchu ergänzt, Gültigkeitsdatum, FK_Sanierung Transmissionswert ergänzt, Version nachgeführt</t>
  </si>
  <si>
    <t>Geben Sie den Wert für den Tageslicht-Transmissiongrad des Glases ein. 
Achtung: bei vor dem Fenster angeordneten Gläsern (Kastenfenster, Doppelfassaden etc.) ist der Tau-Wert der Verglasungen zu multiplizieren.</t>
  </si>
  <si>
    <t>Wurde bei der Wahl der Verglasung auf einen hohen Tageslicht-Transmissionsgrad (Tau ≥ 70%) geachtet?</t>
  </si>
  <si>
    <t>Il vetro scelto posside un elevato fattore di trasmissione della luce diurna (Coeff. luminosità ≥ 70%)?</t>
  </si>
  <si>
    <t>Ergänzungen Raumnutzungen unter Terrain</t>
  </si>
  <si>
    <t>Turnhalle (oberirdisch)</t>
  </si>
  <si>
    <t>Turnhalle (unterirdisch)</t>
  </si>
  <si>
    <t>Salle de gymnastique (en surface)</t>
  </si>
  <si>
    <t>Palestra (fuori terra)</t>
  </si>
  <si>
    <t>Gymnasium (above ground)</t>
  </si>
  <si>
    <t>Salle de gymnastique (souterrain)</t>
  </si>
  <si>
    <t>Palestra (sotto terreno)</t>
  </si>
  <si>
    <t>Gymnasium (under ground)</t>
  </si>
  <si>
    <t>Schwimmhalle (oberirdisch)</t>
  </si>
  <si>
    <t>Piscine couverte (en surface)</t>
  </si>
  <si>
    <t>Piscina (fuori terra)</t>
  </si>
  <si>
    <t>Indoor Swimming Pool (above ground)</t>
  </si>
  <si>
    <t>Schwimmhalle (unterirdisch)</t>
  </si>
  <si>
    <t>Piscine couverte (souterrain)</t>
  </si>
  <si>
    <t>Piscina (sotto terreno)</t>
  </si>
  <si>
    <t>Indoor Swimming Pool (under ground)</t>
  </si>
  <si>
    <t>BM</t>
  </si>
  <si>
    <t>Tageslicht-Tool ECO</t>
  </si>
  <si>
    <t>Outil de lumière du jour ECO</t>
  </si>
  <si>
    <t>Strumento per l'illuminazione naturale ECO</t>
  </si>
  <si>
    <t>Daylight-Tool ECO</t>
  </si>
  <si>
    <t>Auteur du justificatif</t>
  </si>
  <si>
    <t>Récapitulation des résultats pour la lumière du jour</t>
  </si>
  <si>
    <t>Surface totale de tous les locaux saisis</t>
  </si>
  <si>
    <t>Récapitulation des résultats pour les vues</t>
  </si>
  <si>
    <t xml:space="preserve">Un manuel détaillé est disponible sur le site internet de Minergie.   </t>
  </si>
  <si>
    <t xml:space="preserve">Istruzioni dettagliate possono essere trovate sul sito web Minergie.  </t>
  </si>
  <si>
    <t xml:space="preserve">Detailed instructions are available on the Minergie website.  </t>
  </si>
  <si>
    <t>Si vous avez des questions concernant la certification, veuillez contacter l'office de certification responsable.</t>
  </si>
  <si>
    <t>Formale Anpassungen (Erneuerung anstatt Modernisierung, Version 2023-1 anstatt 2.12, Passwort: 2023).</t>
  </si>
  <si>
    <t>Korrektur der französischen Texte (Übersetzerin: Anna Piguet).</t>
  </si>
  <si>
    <t>SLE</t>
  </si>
  <si>
    <t>Eingabe- und Fehlermeldungen einheitlich auf Deutsch (Vorschlag: Als nächsten Schritt dreisprachige Meldungen).</t>
  </si>
  <si>
    <t>Données des fenêtres</t>
  </si>
  <si>
    <t>Dénomination
-</t>
  </si>
  <si>
    <t>Part vitrée
%</t>
  </si>
  <si>
    <t>Valeur Tau
%</t>
  </si>
  <si>
    <t>Protéction solaire et ombrage dû à l'horizon</t>
  </si>
  <si>
    <t>Commande
-</t>
  </si>
  <si>
    <t>Ombrage dû à l'horizon
-</t>
  </si>
  <si>
    <t>Dénomination du local
-</t>
  </si>
  <si>
    <t>Données du local</t>
  </si>
  <si>
    <t>Übertrag aus weiterem Nachw.</t>
  </si>
  <si>
    <t>Report d'un autre justificatif</t>
  </si>
  <si>
    <t>Riporto di un'altra prova</t>
  </si>
  <si>
    <t>Carryover from further proof</t>
  </si>
  <si>
    <t>Locaux types et vues</t>
  </si>
  <si>
    <t>Tiefe genutzter Bereich
m</t>
  </si>
  <si>
    <t>Profondeur de la zone utilisée
m</t>
  </si>
  <si>
    <t>Profondeur de la vue
m</t>
  </si>
  <si>
    <t>Eléments visibles
-</t>
  </si>
  <si>
    <t>Résultats globaux</t>
  </si>
  <si>
    <t>Qualité des vues (sur l'ensemble des locaux)</t>
  </si>
  <si>
    <t>Fragenkatalog Erneuerung</t>
  </si>
  <si>
    <t>Questionnaire rénovation</t>
  </si>
  <si>
    <t>Questionnaire renovation</t>
  </si>
  <si>
    <t>Les ouvertures des fenêtres sont-elles maintenues ou augmentées ?</t>
  </si>
  <si>
    <t>Les surfaces de vitrage sont-elles maintenues ou augmentées ?</t>
  </si>
  <si>
    <t>A-t-on prêté attention, lors du choix du vitrage, à une valeur de transmission lumineuse élevée (Tau ≥ 70%) ?</t>
  </si>
  <si>
    <t>Pas d'éléments (p.ex, les balcons, les avant-toits) construits sur la façade qui diminuent la lumière du jour ?</t>
  </si>
  <si>
    <t xml:space="preserve">Les pièces (au moins les plafonds et les murs) ont-elles été peintes principalement avec des couleurs claires ? </t>
  </si>
  <si>
    <t>DIESES ARBEITSBLATT IST NUR BEI ERNEUERUNGSPROJEKTEN AUSZUFÜLLEN</t>
  </si>
  <si>
    <t>Bitte füllen Sie das Arbeitsblatt 'Tageslicht' für den Zustand nach der Erneuerung aus und bestimmen sie eine Gebäudekategorie die ihrem Gebäude am nächsten kommt:</t>
  </si>
  <si>
    <t>Veuillez remplir la feuille 'Lumière du jour' pour l'état après rénovation et déterminer la catégorie de bâtiment qui correspond le mieux à votre projet :</t>
  </si>
  <si>
    <t>Il requisito Minergie-ECO per ammodernamenti non é rispettato,  è necessario effettuare calcoli piu dettagliati (compilare il foglio calcolo illuminazione naturale).</t>
  </si>
  <si>
    <t>The requirements of Minergie-ECO are not respected. A detailed calculation is mandatory.</t>
  </si>
  <si>
    <t>Bâtiments avec une proportion moyenne de fenêtres</t>
  </si>
  <si>
    <t>Motorisé, automatique et à réglage des lamelles</t>
  </si>
  <si>
    <t>Vue dégagée, pas ou peu d'ombrage dû à l'horizon</t>
  </si>
  <si>
    <t>Ombrage moyen dû à l'horizon, angle d'obstruction entre 15° et 35°</t>
  </si>
  <si>
    <t>Emplacement en ville, ombrage important dû à l'horizon</t>
  </si>
  <si>
    <t>Sigle</t>
  </si>
  <si>
    <t>Abbreviazione</t>
  </si>
  <si>
    <t>Abbreviation</t>
  </si>
  <si>
    <t>Profondeur de la vue</t>
  </si>
  <si>
    <t>Saisissez la distance jusqu'à l'objet le plus proche (mesurée à partir de la façade).</t>
  </si>
  <si>
    <t>Eingabe einer Kurzbezeichnung (max. 4 Zeichen).</t>
  </si>
  <si>
    <t>Sie dürfen maximal 4 Zeichen eingeben.</t>
  </si>
  <si>
    <t>Vous pouvez saisir 4 caractères au maximum.</t>
  </si>
  <si>
    <t>Saisie d'une désignation courte (max. 4 caractères).</t>
  </si>
  <si>
    <t>Inserire una denominazione breve (max. 4 caratteri).</t>
  </si>
  <si>
    <t>È possibile inserire un massimo di 4 caratteri.</t>
  </si>
  <si>
    <t>Enter a short description (max. 4 characters).</t>
  </si>
  <si>
    <t>You may enter a maximum of 4 characters.</t>
  </si>
  <si>
    <t>Zu verwenden bis 31.12.2026</t>
  </si>
  <si>
    <t>A utiliser jusqu'à 31.12.2026</t>
  </si>
  <si>
    <t>To be used until 31.12.2026</t>
  </si>
  <si>
    <t>Erneuerung</t>
  </si>
  <si>
    <t>Die Anforderungen des Zusatzes ECO sind</t>
  </si>
  <si>
    <t>Les exigences du complément ECO</t>
  </si>
  <si>
    <t>Le esigenze del complemento ECO</t>
  </si>
  <si>
    <t>The requirements of the ECO add-on are</t>
  </si>
  <si>
    <t>Builder</t>
  </si>
  <si>
    <t>Construction nouvelle</t>
  </si>
  <si>
    <t>A56</t>
  </si>
  <si>
    <t>A41</t>
  </si>
  <si>
    <t>Salle des maîtres/ lieu de séjour</t>
  </si>
  <si>
    <t>Fragenkatalog_Erneuerung</t>
  </si>
  <si>
    <t>Tabelle Fragenkatalog Erneuerung</t>
  </si>
  <si>
    <t>Bewertungsskala Erneuerung</t>
  </si>
  <si>
    <t>A58</t>
  </si>
  <si>
    <t>A57</t>
  </si>
  <si>
    <t>Schulen</t>
  </si>
  <si>
    <r>
      <t xml:space="preserve">Überarbeitung, u. a. Korrektur Sonnenschutz; Integration temp. Ausnahmeregelung für Schulen (Erfüllung: </t>
    </r>
    <r>
      <rPr>
        <sz val="9"/>
        <rFont val="Calibri"/>
        <family val="2"/>
      </rPr>
      <t>≥</t>
    </r>
    <r>
      <rPr>
        <sz val="9"/>
        <rFont val="Arial"/>
        <family val="2"/>
      </rPr>
      <t xml:space="preserve"> 40 %).</t>
    </r>
  </si>
  <si>
    <t>hoch</t>
  </si>
  <si>
    <t>mittel</t>
  </si>
  <si>
    <t>ungenügend</t>
  </si>
  <si>
    <t>haut</t>
  </si>
  <si>
    <t>moyenne</t>
  </si>
  <si>
    <t>insuffisant</t>
  </si>
  <si>
    <t>alto</t>
  </si>
  <si>
    <t>media</t>
  </si>
  <si>
    <t>minimo</t>
  </si>
  <si>
    <t>insufficiente</t>
  </si>
  <si>
    <t>insufficient</t>
  </si>
  <si>
    <t>high</t>
  </si>
  <si>
    <t>medium</t>
  </si>
  <si>
    <t>Da utilizzare fino al 31.12.2026</t>
  </si>
  <si>
    <t>Bauvorhaben</t>
  </si>
  <si>
    <t>Progetto edilizio</t>
  </si>
  <si>
    <t>Projet de construction</t>
  </si>
  <si>
    <t>Building project</t>
  </si>
  <si>
    <t>Nutzung</t>
  </si>
  <si>
    <t>Utilisation</t>
  </si>
  <si>
    <t>Utilizzazione</t>
  </si>
  <si>
    <t>Use</t>
  </si>
  <si>
    <t>A33</t>
  </si>
  <si>
    <t xml:space="preserve">Integration von Nutzungen bzw. Gebäudekat. analog SIA und Minergie zwecks nutzungsspezifischer Resultate (Schule) </t>
  </si>
  <si>
    <t>A50</t>
  </si>
  <si>
    <t>Wohnen MFH</t>
  </si>
  <si>
    <t>Wohnen EFH</t>
  </si>
  <si>
    <t>Verkauf</t>
  </si>
  <si>
    <t>Industrie</t>
  </si>
  <si>
    <t>Lager</t>
  </si>
  <si>
    <t>Sportbauten</t>
  </si>
  <si>
    <t>Habitat collectif</t>
  </si>
  <si>
    <t>Habitat individuel</t>
  </si>
  <si>
    <t>Écoles</t>
  </si>
  <si>
    <t>Commerce</t>
  </si>
  <si>
    <t>Restauration</t>
  </si>
  <si>
    <t>Lieux de rassemblement</t>
  </si>
  <si>
    <t>Hôpitaux</t>
  </si>
  <si>
    <t>Installations sportives</t>
  </si>
  <si>
    <t>Piscines couvertes</t>
  </si>
  <si>
    <t>Dépôts</t>
  </si>
  <si>
    <t>Restaurants</t>
  </si>
  <si>
    <t>Versammlungslokale</t>
  </si>
  <si>
    <t>Spitäler</t>
  </si>
  <si>
    <t>Hallenbäder</t>
  </si>
  <si>
    <t>Abitazioni plurifamiliari</t>
  </si>
  <si>
    <t>Abitazioni monofamiliari</t>
  </si>
  <si>
    <t>Amministrazione</t>
  </si>
  <si>
    <t>Scuole</t>
  </si>
  <si>
    <t>Negozi</t>
  </si>
  <si>
    <t>Ristoranti</t>
  </si>
  <si>
    <t>Locali pubblici</t>
  </si>
  <si>
    <t>Ospedali</t>
  </si>
  <si>
    <t>Magazzini</t>
  </si>
  <si>
    <t>Impianti sportivi</t>
  </si>
  <si>
    <t>Piscine coperte</t>
  </si>
  <si>
    <t>Apartment building</t>
  </si>
  <si>
    <t>Single-family house</t>
  </si>
  <si>
    <t>Schools</t>
  </si>
  <si>
    <t>Retail</t>
  </si>
  <si>
    <t>Assembly halls</t>
  </si>
  <si>
    <t>Hospitals</t>
  </si>
  <si>
    <t>Industry</t>
  </si>
  <si>
    <t>Warehouses</t>
  </si>
  <si>
    <t>Sports buildings</t>
  </si>
  <si>
    <t>Indoor swimming pools</t>
  </si>
  <si>
    <t>Label-Plattform: wenn erfüllt mind. 50% übertragen.</t>
  </si>
  <si>
    <t>Piattaforma dei label: se sodisfatto min. 50% trasferito.</t>
  </si>
  <si>
    <t>Plateforme des labels : si rempli min. 50% transféré.</t>
  </si>
  <si>
    <t>Label-platform: if fulfilled transfer min. 50%.</t>
  </si>
  <si>
    <t>Achtung: Im Blatt Fenster muss Zelle B5 über einen Wert verfügen, damit Visual Basic läuft!</t>
  </si>
  <si>
    <t>Ungen. Raumfl.</t>
  </si>
  <si>
    <t>Mindesterf.</t>
  </si>
  <si>
    <t>Bonuserf.</t>
  </si>
  <si>
    <t>Total</t>
  </si>
  <si>
    <t>Dérogation pour les écoles : taux de l'autonomie en lumière naturelle d'au moins 40% (voir prescription 140.01 Lumière du jour).</t>
  </si>
  <si>
    <t>Esenzione per le scuole: un grado d'illuminazione naturale di almeno il 40% (vedi requisito 140.01 Illuminazione naturale).</t>
  </si>
  <si>
    <t>Ausnahmeregelung für Schulen: Tageslichterfüllungsgrad von mindestens 40% (siehe Vorgabe 140.01 Tageslicht).</t>
  </si>
  <si>
    <t>Ergebnis</t>
  </si>
  <si>
    <t>Punkte</t>
  </si>
  <si>
    <t>minimal</t>
  </si>
  <si>
    <t>minimale</t>
  </si>
  <si>
    <t>Renovationsfaktor</t>
  </si>
  <si>
    <t>Anteil der Raumfläche mit ungenügendem Ergebnis</t>
  </si>
  <si>
    <t>Part de surface avec un résultat insuffisant</t>
  </si>
  <si>
    <t>Quota di superficie con un risultato insufficiente</t>
  </si>
  <si>
    <t>Portion of floor area with insufficient daylight</t>
  </si>
  <si>
    <t>Tageslicht-Erfüllungsgrad über alle Räume</t>
  </si>
  <si>
    <t>Degré total d'autonomie en lumière du jour sur l'ensemble des locaux</t>
  </si>
  <si>
    <t>Quota d'illuminazione naturale</t>
  </si>
  <si>
    <t>Portion of daylight autonomy</t>
  </si>
  <si>
    <t>F01</t>
  </si>
  <si>
    <t>Schulen (Ausnahmeregelung)</t>
  </si>
  <si>
    <t>Écoles (dérogation)</t>
  </si>
  <si>
    <t>Scuole (esenzione)</t>
  </si>
  <si>
    <t>Schools (exemption)</t>
  </si>
  <si>
    <t>Exemption for schools: daylight autonomy of at least 40% (see requirement 140.1 Daylight).</t>
  </si>
  <si>
    <t>A14</t>
  </si>
  <si>
    <t>A26</t>
  </si>
  <si>
    <t>A29</t>
  </si>
  <si>
    <t>A20</t>
  </si>
  <si>
    <t>A31</t>
  </si>
  <si>
    <t>A34</t>
  </si>
  <si>
    <t>A37</t>
  </si>
  <si>
    <t>D31</t>
  </si>
  <si>
    <t>A59</t>
  </si>
  <si>
    <t>A47</t>
  </si>
  <si>
    <t>D47</t>
  </si>
  <si>
    <t>A39</t>
  </si>
  <si>
    <t>A42</t>
  </si>
  <si>
    <t>A45</t>
  </si>
  <si>
    <t>B12</t>
  </si>
  <si>
    <t>Wählen Sie die Nutzung mit dem grössten Flächenanteil.</t>
  </si>
  <si>
    <t>Select the use with the largest area share.</t>
  </si>
  <si>
    <t>Choisissez l'utilisation qui représente la plus grande surface.</t>
  </si>
  <si>
    <t>Selezionare l'utilizzazione con la quota di superficie maggiore.</t>
  </si>
  <si>
    <t>Erfassen Sie zuerst die Objektdaten im Blatt 'Überblick'.</t>
  </si>
  <si>
    <t>Saisissez d'abord les données du projet dans l'onglet 'Résumé'.</t>
  </si>
  <si>
    <t>Immettere prima i dati dell’oggetto nella scheda 'Riassunto'.</t>
  </si>
  <si>
    <t>First, fill out the fileds for the object data in the sheet 'Overview'.</t>
  </si>
  <si>
    <t>Die Anforderungen des Zusatzes ECO an Erneuerungen sind erfüllt. Es wird automatisch ein Tageslichterfüllungsgrad von 50% angenommen (genügend).</t>
  </si>
  <si>
    <t>Les exigences du complément ECO pour la rénovation sont remplies. Il est considéré automatiquement un degré de réalisation de lumière du jour de 50% (suffisant).</t>
  </si>
  <si>
    <t>Le esigenze del complemento ECO per ammodernamenti é automaticamente rispettato con un valore di rispetto pari al 50% (sufficiente), non è necessario effettuare calcoli piu dettagliati.</t>
  </si>
  <si>
    <t>The requirements of the ECO add-on for renovations are automatically respected with a daylight value of 50%. A more detailed calculation is not necessary.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</si>
</sst>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0.0"/>
    <numFmt numFmtId="166" formatCode="#,##0.0"/>
    <numFmt numFmtId="167" formatCode="0\ &quot;MJ/m²a&quot;"/>
    <numFmt numFmtId="168" formatCode="0\ &quot;MWh/a&quot;"/>
    <numFmt numFmtId="169" formatCode="dd/mm/yyyy;@"/>
    <numFmt numFmtId="170" formatCode="0&quot;°&quot;"/>
    <numFmt numFmtId="171" formatCode="0.0\ &quot;m²&quot;"/>
    <numFmt numFmtId="172" formatCode="0.0\ &quot;Pt.&quot;"/>
  </numFmts>
  <fonts count="44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  <font>
      <b/>
      <sz val="9"/>
      <color theme="5"/>
      <name val="Arial"/>
      <family val="2"/>
    </font>
    <font>
      <sz val="10"/>
      <color rgb="FF00B050"/>
      <name val="Arial"/>
      <family val="2"/>
    </font>
    <font>
      <sz val="9"/>
      <name val="Calibri"/>
      <family val="2"/>
    </font>
    <font>
      <sz val="10"/>
      <color rgb="FF7030A0"/>
      <name val="Arial"/>
      <family val="2"/>
    </font>
    <font>
      <b/>
      <sz val="9"/>
      <color rgb="FF7030A0"/>
      <name val="Arial"/>
      <family val="2"/>
    </font>
    <font>
      <sz val="9"/>
      <color rgb="FF7030A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311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7" fontId="9" fillId="0" borderId="0" xfId="0" applyNumberFormat="1" applyFont="1" applyAlignment="1" applyProtection="1">
      <alignment horizontal="center" vertical="center"/>
      <protection hidden="1"/>
    </xf>
    <xf numFmtId="168" fontId="9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8" fontId="7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Protection="1">
      <protection hidden="1"/>
    </xf>
    <xf numFmtId="9" fontId="11" fillId="0" borderId="0" xfId="0" applyNumberFormat="1" applyFont="1"/>
    <xf numFmtId="9" fontId="6" fillId="0" borderId="0" xfId="0" applyNumberFormat="1" applyFont="1" applyAlignment="1" applyProtection="1">
      <alignment vertical="center" wrapText="1"/>
      <protection hidden="1"/>
    </xf>
    <xf numFmtId="9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>
      <alignment vertical="center"/>
    </xf>
    <xf numFmtId="9" fontId="21" fillId="0" borderId="0" xfId="0" applyNumberFormat="1" applyFont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Alignment="1" applyProtection="1">
      <alignment vertical="top" wrapText="1"/>
      <protection hidden="1"/>
    </xf>
    <xf numFmtId="0" fontId="6" fillId="0" borderId="0" xfId="5" applyFont="1" applyProtection="1">
      <protection hidden="1"/>
    </xf>
    <xf numFmtId="0" fontId="8" fillId="0" borderId="0" xfId="5"/>
    <xf numFmtId="0" fontId="6" fillId="0" borderId="0" xfId="5" applyFont="1"/>
    <xf numFmtId="0" fontId="7" fillId="0" borderId="0" xfId="5" applyFont="1"/>
    <xf numFmtId="0" fontId="28" fillId="4" borderId="0" xfId="5" applyFont="1" applyFill="1"/>
    <xf numFmtId="0" fontId="28" fillId="4" borderId="0" xfId="5" applyFont="1" applyFill="1" applyAlignment="1">
      <alignment vertical="center"/>
    </xf>
    <xf numFmtId="0" fontId="31" fillId="4" borderId="0" xfId="0" applyFont="1" applyFill="1" applyProtection="1"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/>
    <xf numFmtId="0" fontId="28" fillId="4" borderId="3" xfId="5" applyFont="1" applyFill="1" applyBorder="1" applyAlignment="1">
      <alignment horizontal="center" wrapText="1"/>
    </xf>
    <xf numFmtId="0" fontId="8" fillId="6" borderId="4" xfId="5" applyFill="1" applyBorder="1"/>
    <xf numFmtId="2" fontId="6" fillId="6" borderId="4" xfId="5" applyNumberFormat="1" applyFont="1" applyFill="1" applyBorder="1" applyAlignment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5" fontId="8" fillId="3" borderId="4" xfId="5" applyNumberFormat="1" applyFill="1" applyBorder="1" applyAlignment="1">
      <alignment horizontal="center"/>
    </xf>
    <xf numFmtId="165" fontId="6" fillId="6" borderId="4" xfId="5" applyNumberFormat="1" applyFont="1" applyFill="1" applyBorder="1" applyAlignment="1">
      <alignment horizontal="center"/>
    </xf>
    <xf numFmtId="165" fontId="8" fillId="6" borderId="4" xfId="5" applyNumberFormat="1" applyFill="1" applyBorder="1" applyAlignment="1">
      <alignment horizontal="center"/>
    </xf>
    <xf numFmtId="9" fontId="6" fillId="6" borderId="4" xfId="0" applyNumberFormat="1" applyFont="1" applyFill="1" applyBorder="1" applyAlignment="1">
      <alignment horizontal="center" vertical="center"/>
    </xf>
    <xf numFmtId="0" fontId="6" fillId="7" borderId="4" xfId="5" applyFont="1" applyFill="1" applyBorder="1" applyProtection="1">
      <protection locked="0"/>
    </xf>
    <xf numFmtId="165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165" fontId="8" fillId="7" borderId="4" xfId="3" applyNumberFormat="1" applyFont="1" applyFill="1" applyBorder="1" applyAlignment="1" applyProtection="1">
      <alignment horizontal="center"/>
      <protection locked="0"/>
    </xf>
    <xf numFmtId="0" fontId="8" fillId="8" borderId="4" xfId="5" applyFill="1" applyBorder="1" applyProtection="1">
      <protection locked="0"/>
    </xf>
    <xf numFmtId="165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8" fillId="6" borderId="5" xfId="5" applyFill="1" applyBorder="1"/>
    <xf numFmtId="0" fontId="8" fillId="6" borderId="5" xfId="5" applyFill="1" applyBorder="1" applyAlignment="1">
      <alignment vertical="center"/>
    </xf>
    <xf numFmtId="0" fontId="6" fillId="6" borderId="6" xfId="5" applyFont="1" applyFill="1" applyBorder="1" applyAlignment="1">
      <alignment vertical="center"/>
    </xf>
    <xf numFmtId="0" fontId="32" fillId="4" borderId="0" xfId="0" applyFont="1" applyFill="1" applyAlignment="1" applyProtection="1">
      <alignment vertical="center"/>
      <protection hidden="1"/>
    </xf>
    <xf numFmtId="0" fontId="25" fillId="0" borderId="0" xfId="0" applyFont="1"/>
    <xf numFmtId="0" fontId="3" fillId="0" borderId="0" xfId="0" applyFont="1"/>
    <xf numFmtId="0" fontId="11" fillId="6" borderId="0" xfId="0" applyFont="1" applyFill="1"/>
    <xf numFmtId="0" fontId="33" fillId="4" borderId="0" xfId="0" applyFont="1" applyFill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Alignment="1" applyProtection="1">
      <alignment horizontal="center" vertical="center"/>
      <protection locked="0"/>
    </xf>
    <xf numFmtId="0" fontId="6" fillId="5" borderId="0" xfId="0" applyFont="1" applyFill="1" applyAlignment="1">
      <alignment vertical="center"/>
    </xf>
    <xf numFmtId="0" fontId="2" fillId="5" borderId="0" xfId="0" applyFont="1" applyFill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6" borderId="5" xfId="5" applyFont="1" applyFill="1" applyBorder="1" applyAlignment="1">
      <alignment vertical="center"/>
    </xf>
    <xf numFmtId="0" fontId="28" fillId="4" borderId="3" xfId="5" applyFont="1" applyFill="1" applyBorder="1" applyAlignment="1">
      <alignment horizontal="left" wrapText="1"/>
    </xf>
    <xf numFmtId="0" fontId="28" fillId="4" borderId="3" xfId="5" applyFont="1" applyFill="1" applyBorder="1" applyAlignment="1">
      <alignment wrapText="1"/>
    </xf>
    <xf numFmtId="165" fontId="8" fillId="6" borderId="10" xfId="5" applyNumberFormat="1" applyFill="1" applyBorder="1" applyAlignment="1">
      <alignment vertical="center"/>
    </xf>
    <xf numFmtId="165" fontId="8" fillId="6" borderId="11" xfId="5" applyNumberFormat="1" applyFill="1" applyBorder="1" applyAlignment="1">
      <alignment vertical="center"/>
    </xf>
    <xf numFmtId="0" fontId="6" fillId="6" borderId="12" xfId="5" applyFont="1" applyFill="1" applyBorder="1" applyAlignment="1">
      <alignment vertical="center"/>
    </xf>
    <xf numFmtId="0" fontId="6" fillId="6" borderId="13" xfId="5" applyFont="1" applyFill="1" applyBorder="1" applyAlignment="1">
      <alignment vertical="center"/>
    </xf>
    <xf numFmtId="165" fontId="6" fillId="6" borderId="5" xfId="5" applyNumberFormat="1" applyFont="1" applyFill="1" applyBorder="1" applyAlignment="1">
      <alignment vertical="center"/>
    </xf>
    <xf numFmtId="165" fontId="6" fillId="6" borderId="6" xfId="5" applyNumberFormat="1" applyFont="1" applyFill="1" applyBorder="1" applyAlignment="1">
      <alignment vertical="center"/>
    </xf>
    <xf numFmtId="0" fontId="28" fillId="4" borderId="14" xfId="5" applyFont="1" applyFill="1" applyBorder="1"/>
    <xf numFmtId="0" fontId="32" fillId="4" borderId="14" xfId="5" applyFont="1" applyFill="1" applyBorder="1" applyAlignment="1">
      <alignment vertical="center"/>
    </xf>
    <xf numFmtId="0" fontId="8" fillId="4" borderId="14" xfId="5" applyFill="1" applyBorder="1"/>
    <xf numFmtId="0" fontId="28" fillId="4" borderId="15" xfId="5" applyFont="1" applyFill="1" applyBorder="1"/>
    <xf numFmtId="0" fontId="8" fillId="4" borderId="15" xfId="5" applyFill="1" applyBorder="1"/>
    <xf numFmtId="0" fontId="6" fillId="6" borderId="11" xfId="5" applyFont="1" applyFill="1" applyBorder="1" applyAlignment="1">
      <alignment vertical="center"/>
    </xf>
    <xf numFmtId="1" fontId="8" fillId="6" borderId="10" xfId="5" applyNumberFormat="1" applyFill="1" applyBorder="1" applyAlignment="1">
      <alignment vertical="center"/>
    </xf>
    <xf numFmtId="1" fontId="8" fillId="6" borderId="11" xfId="5" applyNumberFormat="1" applyFill="1" applyBorder="1" applyAlignment="1">
      <alignment vertical="center"/>
    </xf>
    <xf numFmtId="0" fontId="8" fillId="5" borderId="0" xfId="5" applyFill="1"/>
    <xf numFmtId="0" fontId="7" fillId="5" borderId="0" xfId="5" applyFont="1" applyFill="1"/>
    <xf numFmtId="0" fontId="7" fillId="5" borderId="0" xfId="5" applyFont="1" applyFill="1" applyAlignment="1">
      <alignment horizontal="center"/>
    </xf>
    <xf numFmtId="9" fontId="7" fillId="5" borderId="0" xfId="3" applyFont="1" applyFill="1" applyBorder="1" applyAlignment="1" applyProtection="1">
      <alignment horizontal="center"/>
    </xf>
    <xf numFmtId="170" fontId="7" fillId="5" borderId="0" xfId="5" applyNumberFormat="1" applyFont="1" applyFill="1" applyAlignment="1">
      <alignment horizontal="center"/>
    </xf>
    <xf numFmtId="0" fontId="6" fillId="5" borderId="0" xfId="5" applyFont="1" applyFill="1"/>
    <xf numFmtId="0" fontId="8" fillId="0" borderId="0" xfId="5" applyAlignment="1">
      <alignment vertical="center"/>
    </xf>
    <xf numFmtId="0" fontId="7" fillId="0" borderId="0" xfId="5" applyFont="1" applyAlignment="1">
      <alignment vertical="center"/>
    </xf>
    <xf numFmtId="0" fontId="5" fillId="0" borderId="0" xfId="5" applyFont="1" applyAlignment="1">
      <alignment horizontal="right" vertical="center"/>
    </xf>
    <xf numFmtId="0" fontId="25" fillId="0" borderId="0" xfId="5" applyFont="1" applyAlignment="1">
      <alignment vertical="center"/>
    </xf>
    <xf numFmtId="0" fontId="5" fillId="0" borderId="0" xfId="5" applyFont="1" applyAlignment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Alignment="1" applyProtection="1">
      <alignment vertical="center"/>
      <protection hidden="1"/>
    </xf>
    <xf numFmtId="0" fontId="5" fillId="0" borderId="0" xfId="5" applyFont="1" applyProtection="1">
      <protection hidden="1"/>
    </xf>
    <xf numFmtId="0" fontId="10" fillId="0" borderId="0" xfId="0" applyFont="1"/>
    <xf numFmtId="0" fontId="10" fillId="5" borderId="0" xfId="0" applyFont="1" applyFill="1"/>
    <xf numFmtId="0" fontId="4" fillId="0" borderId="0" xfId="0" applyFont="1"/>
    <xf numFmtId="0" fontId="4" fillId="2" borderId="0" xfId="0" applyFont="1" applyFill="1"/>
    <xf numFmtId="0" fontId="4" fillId="5" borderId="0" xfId="0" applyFont="1" applyFill="1"/>
    <xf numFmtId="0" fontId="34" fillId="4" borderId="0" xfId="0" applyFont="1" applyFill="1" applyAlignment="1">
      <alignment vertical="center"/>
    </xf>
    <xf numFmtId="0" fontId="3" fillId="5" borderId="0" xfId="0" applyFont="1" applyFill="1"/>
    <xf numFmtId="0" fontId="4" fillId="5" borderId="0" xfId="0" applyFont="1" applyFill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167" fontId="7" fillId="5" borderId="0" xfId="0" applyNumberFormat="1" applyFont="1" applyFill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8" fontId="7" fillId="5" borderId="0" xfId="0" applyNumberFormat="1" applyFont="1" applyFill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6" fillId="5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2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6" fillId="3" borderId="16" xfId="0" applyFont="1" applyFill="1" applyBorder="1" applyAlignment="1">
      <alignment horizontal="left" vertical="center"/>
    </xf>
    <xf numFmtId="165" fontId="6" fillId="3" borderId="16" xfId="0" applyNumberFormat="1" applyFont="1" applyFill="1" applyBorder="1" applyAlignment="1">
      <alignment horizontal="right" vertical="center"/>
    </xf>
    <xf numFmtId="0" fontId="6" fillId="3" borderId="6" xfId="0" applyFont="1" applyFill="1" applyBorder="1" applyAlignment="1">
      <alignment vertical="center"/>
    </xf>
    <xf numFmtId="165" fontId="6" fillId="3" borderId="6" xfId="0" applyNumberFormat="1" applyFont="1" applyFill="1" applyBorder="1" applyAlignment="1">
      <alignment vertical="center"/>
    </xf>
    <xf numFmtId="1" fontId="6" fillId="3" borderId="6" xfId="0" applyNumberFormat="1" applyFont="1" applyFill="1" applyBorder="1" applyAlignment="1">
      <alignment vertical="center"/>
    </xf>
    <xf numFmtId="0" fontId="28" fillId="4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/>
    </xf>
    <xf numFmtId="0" fontId="28" fillId="0" borderId="0" xfId="0" applyFont="1"/>
    <xf numFmtId="0" fontId="28" fillId="4" borderId="15" xfId="0" applyFont="1" applyFill="1" applyBorder="1"/>
    <xf numFmtId="0" fontId="28" fillId="4" borderId="3" xfId="0" applyFont="1" applyFill="1" applyBorder="1" applyAlignment="1">
      <alignment wrapText="1"/>
    </xf>
    <xf numFmtId="0" fontId="28" fillId="4" borderId="3" xfId="0" applyFont="1" applyFill="1" applyBorder="1" applyAlignment="1">
      <alignment horizontal="center" wrapText="1"/>
    </xf>
    <xf numFmtId="0" fontId="6" fillId="6" borderId="17" xfId="0" applyFont="1" applyFill="1" applyBorder="1"/>
    <xf numFmtId="0" fontId="6" fillId="6" borderId="13" xfId="0" applyFont="1" applyFill="1" applyBorder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28" fillId="4" borderId="23" xfId="0" applyFont="1" applyFill="1" applyBorder="1" applyAlignment="1">
      <alignment wrapText="1"/>
    </xf>
    <xf numFmtId="1" fontId="6" fillId="6" borderId="10" xfId="5" applyNumberFormat="1" applyFont="1" applyFill="1" applyBorder="1" applyAlignment="1">
      <alignment vertical="center"/>
    </xf>
    <xf numFmtId="1" fontId="6" fillId="6" borderId="11" xfId="5" applyNumberFormat="1" applyFont="1" applyFill="1" applyBorder="1" applyAlignment="1">
      <alignment vertical="center"/>
    </xf>
    <xf numFmtId="0" fontId="32" fillId="4" borderId="24" xfId="5" applyFont="1" applyFill="1" applyBorder="1" applyAlignment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Alignment="1">
      <alignment horizontal="center" vertical="center"/>
    </xf>
    <xf numFmtId="0" fontId="1" fillId="6" borderId="6" xfId="5" applyFont="1" applyFill="1" applyBorder="1"/>
    <xf numFmtId="0" fontId="1" fillId="6" borderId="6" xfId="5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5" xfId="0" applyFont="1" applyFill="1" applyBorder="1" applyAlignment="1">
      <alignment horizontal="left" vertical="center"/>
    </xf>
    <xf numFmtId="0" fontId="32" fillId="4" borderId="25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28" fillId="4" borderId="29" xfId="5" applyFont="1" applyFill="1" applyBorder="1" applyAlignment="1">
      <alignment horizontal="center" wrapText="1"/>
    </xf>
    <xf numFmtId="0" fontId="6" fillId="8" borderId="4" xfId="5" applyFont="1" applyFill="1" applyBorder="1" applyAlignment="1" applyProtection="1">
      <alignment horizontal="center"/>
      <protection locked="0"/>
    </xf>
    <xf numFmtId="0" fontId="32" fillId="4" borderId="15" xfId="5" applyFont="1" applyFill="1" applyBorder="1" applyAlignment="1">
      <alignment vertical="center"/>
    </xf>
    <xf numFmtId="0" fontId="28" fillId="4" borderId="20" xfId="5" applyFont="1" applyFill="1" applyBorder="1" applyAlignment="1">
      <alignment horizontal="center" vertical="center" wrapText="1"/>
    </xf>
    <xf numFmtId="9" fontId="6" fillId="6" borderId="13" xfId="3" applyFont="1" applyFill="1" applyBorder="1" applyAlignment="1" applyProtection="1">
      <alignment horizontal="center" vertical="center"/>
    </xf>
    <xf numFmtId="0" fontId="6" fillId="6" borderId="13" xfId="5" applyFont="1" applyFill="1" applyBorder="1" applyAlignment="1">
      <alignment horizontal="center" vertical="center"/>
    </xf>
    <xf numFmtId="9" fontId="6" fillId="6" borderId="32" xfId="3" applyFont="1" applyFill="1" applyBorder="1" applyAlignment="1" applyProtection="1">
      <alignment horizontal="center" vertical="center"/>
    </xf>
    <xf numFmtId="171" fontId="6" fillId="10" borderId="30" xfId="5" applyNumberFormat="1" applyFont="1" applyFill="1" applyBorder="1" applyAlignment="1" applyProtection="1">
      <alignment horizontal="center" vertical="center"/>
      <protection locked="0"/>
    </xf>
    <xf numFmtId="171" fontId="6" fillId="10" borderId="31" xfId="5" applyNumberFormat="1" applyFont="1" applyFill="1" applyBorder="1" applyAlignment="1" applyProtection="1">
      <alignment horizontal="center" vertical="center"/>
      <protection locked="0"/>
    </xf>
    <xf numFmtId="171" fontId="6" fillId="6" borderId="12" xfId="5" applyNumberFormat="1" applyFont="1" applyFill="1" applyBorder="1" applyAlignment="1">
      <alignment horizontal="center" vertical="center"/>
    </xf>
    <xf numFmtId="171" fontId="6" fillId="6" borderId="13" xfId="5" applyNumberFormat="1" applyFont="1" applyFill="1" applyBorder="1" applyAlignment="1">
      <alignment horizontal="center" vertical="center"/>
    </xf>
    <xf numFmtId="172" fontId="6" fillId="10" borderId="30" xfId="5" applyNumberFormat="1" applyFont="1" applyFill="1" applyBorder="1" applyAlignment="1" applyProtection="1">
      <alignment horizontal="center" vertical="center"/>
      <protection locked="0"/>
    </xf>
    <xf numFmtId="2" fontId="6" fillId="6" borderId="12" xfId="5" applyNumberFormat="1" applyFont="1" applyFill="1" applyBorder="1" applyAlignment="1">
      <alignment horizontal="center" vertical="center"/>
    </xf>
    <xf numFmtId="172" fontId="6" fillId="6" borderId="33" xfId="5" applyNumberFormat="1" applyFont="1" applyFill="1" applyBorder="1" applyAlignment="1">
      <alignment horizontal="center" vertical="center"/>
    </xf>
    <xf numFmtId="1" fontId="6" fillId="6" borderId="4" xfId="5" applyNumberFormat="1" applyFont="1" applyFill="1" applyBorder="1" applyAlignment="1">
      <alignment horizontal="center"/>
    </xf>
    <xf numFmtId="0" fontId="6" fillId="9" borderId="4" xfId="5" applyFont="1" applyFill="1" applyBorder="1"/>
    <xf numFmtId="171" fontId="6" fillId="6" borderId="33" xfId="5" applyNumberFormat="1" applyFont="1" applyFill="1" applyBorder="1" applyAlignment="1">
      <alignment horizontal="center" vertical="center"/>
    </xf>
    <xf numFmtId="171" fontId="6" fillId="6" borderId="32" xfId="5" applyNumberFormat="1" applyFont="1" applyFill="1" applyBorder="1" applyAlignment="1">
      <alignment horizontal="center" vertical="center"/>
    </xf>
    <xf numFmtId="0" fontId="25" fillId="5" borderId="0" xfId="5" applyFont="1" applyFill="1" applyAlignment="1">
      <alignment vertical="center"/>
    </xf>
    <xf numFmtId="0" fontId="5" fillId="5" borderId="0" xfId="5" applyFont="1" applyFill="1" applyAlignment="1">
      <alignment vertical="center"/>
    </xf>
    <xf numFmtId="0" fontId="0" fillId="5" borderId="0" xfId="0" applyFill="1"/>
    <xf numFmtId="0" fontId="6" fillId="13" borderId="0" xfId="0" applyFont="1" applyFill="1"/>
    <xf numFmtId="1" fontId="6" fillId="3" borderId="6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vertical="top"/>
    </xf>
    <xf numFmtId="0" fontId="6" fillId="0" borderId="0" xfId="0" applyFont="1" applyAlignment="1">
      <alignment wrapText="1"/>
    </xf>
    <xf numFmtId="0" fontId="38" fillId="0" borderId="0" xfId="0" applyFont="1"/>
    <xf numFmtId="0" fontId="6" fillId="6" borderId="4" xfId="0" applyFont="1" applyFill="1" applyBorder="1"/>
    <xf numFmtId="0" fontId="39" fillId="0" borderId="0" xfId="0" applyFont="1"/>
    <xf numFmtId="0" fontId="0" fillId="0" borderId="0" xfId="0" applyAlignment="1">
      <alignment horizontal="center"/>
    </xf>
    <xf numFmtId="0" fontId="30" fillId="4" borderId="0" xfId="0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quotePrefix="1" applyNumberFormat="1" applyFont="1" applyAlignment="1">
      <alignment horizontal="center"/>
    </xf>
    <xf numFmtId="165" fontId="30" fillId="4" borderId="0" xfId="0" applyNumberFormat="1" applyFont="1" applyFill="1" applyAlignment="1">
      <alignment horizontal="center"/>
    </xf>
    <xf numFmtId="0" fontId="25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Protection="1">
      <protection hidden="1"/>
    </xf>
    <xf numFmtId="0" fontId="11" fillId="0" borderId="0" xfId="0" applyFont="1" applyAlignment="1">
      <alignment horizontal="right"/>
    </xf>
    <xf numFmtId="0" fontId="6" fillId="0" borderId="0" xfId="6" applyProtection="1">
      <protection hidden="1"/>
    </xf>
    <xf numFmtId="0" fontId="6" fillId="0" borderId="0" xfId="6" applyAlignment="1" applyProtection="1">
      <alignment vertical="top" wrapText="1"/>
      <protection hidden="1"/>
    </xf>
    <xf numFmtId="165" fontId="11" fillId="0" borderId="0" xfId="0" applyNumberFormat="1" applyFont="1" applyAlignment="1">
      <alignment horizontal="center"/>
    </xf>
    <xf numFmtId="165" fontId="11" fillId="0" borderId="0" xfId="0" quotePrefix="1" applyNumberFormat="1" applyFont="1" applyAlignment="1">
      <alignment horizontal="center"/>
    </xf>
    <xf numFmtId="0" fontId="5" fillId="6" borderId="6" xfId="5" applyFont="1" applyFill="1" applyBorder="1" applyAlignment="1">
      <alignment horizontal="center" vertical="center"/>
    </xf>
    <xf numFmtId="0" fontId="28" fillId="4" borderId="0" xfId="5" applyFont="1" applyFill="1" applyAlignment="1">
      <alignment horizontal="center" vertical="center"/>
    </xf>
    <xf numFmtId="165" fontId="6" fillId="6" borderId="5" xfId="5" applyNumberFormat="1" applyFont="1" applyFill="1" applyBorder="1" applyAlignment="1">
      <alignment horizontal="center" vertical="center"/>
    </xf>
    <xf numFmtId="165" fontId="6" fillId="6" borderId="6" xfId="5" applyNumberFormat="1" applyFont="1" applyFill="1" applyBorder="1" applyAlignment="1">
      <alignment horizontal="center" vertical="center"/>
    </xf>
    <xf numFmtId="2" fontId="7" fillId="6" borderId="5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8" fillId="4" borderId="3" xfId="0" applyFont="1" applyFill="1" applyBorder="1" applyAlignment="1">
      <alignment horizontal="left" wrapText="1"/>
    </xf>
    <xf numFmtId="0" fontId="6" fillId="8" borderId="18" xfId="0" applyFont="1" applyFill="1" applyBorder="1" applyAlignment="1" applyProtection="1">
      <alignment horizontal="left"/>
      <protection locked="0"/>
    </xf>
    <xf numFmtId="0" fontId="6" fillId="8" borderId="4" xfId="0" applyFont="1" applyFill="1" applyBorder="1" applyAlignment="1" applyProtection="1">
      <alignment horizontal="left"/>
      <protection locked="0"/>
    </xf>
    <xf numFmtId="0" fontId="6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4" xfId="0" applyFont="1" applyFill="1" applyBorder="1" applyAlignment="1" applyProtection="1">
      <alignment horizontal="left"/>
      <protection locked="0"/>
    </xf>
    <xf numFmtId="0" fontId="28" fillId="0" borderId="0" xfId="0" applyFont="1" applyAlignment="1">
      <alignment horizontal="right"/>
    </xf>
    <xf numFmtId="0" fontId="28" fillId="4" borderId="3" xfId="0" applyFont="1" applyFill="1" applyBorder="1" applyAlignment="1">
      <alignment horizontal="right" wrapText="1"/>
    </xf>
    <xf numFmtId="0" fontId="28" fillId="4" borderId="3" xfId="5" applyFont="1" applyFill="1" applyBorder="1" applyAlignment="1">
      <alignment horizontal="right" wrapText="1"/>
    </xf>
    <xf numFmtId="2" fontId="6" fillId="9" borderId="18" xfId="0" applyNumberFormat="1" applyFont="1" applyFill="1" applyBorder="1" applyAlignment="1">
      <alignment horizontal="right"/>
    </xf>
    <xf numFmtId="0" fontId="6" fillId="9" borderId="18" xfId="0" applyFont="1" applyFill="1" applyBorder="1" applyAlignment="1">
      <alignment horizontal="right"/>
    </xf>
    <xf numFmtId="0" fontId="6" fillId="9" borderId="4" xfId="0" applyFont="1" applyFill="1" applyBorder="1" applyAlignment="1">
      <alignment horizontal="right"/>
    </xf>
    <xf numFmtId="0" fontId="6" fillId="9" borderId="19" xfId="0" applyFont="1" applyFill="1" applyBorder="1" applyAlignment="1">
      <alignment horizontal="right"/>
    </xf>
    <xf numFmtId="0" fontId="6" fillId="8" borderId="4" xfId="6" applyFill="1" applyBorder="1" applyProtection="1">
      <protection locked="0"/>
    </xf>
    <xf numFmtId="0" fontId="6" fillId="7" borderId="4" xfId="6" applyFill="1" applyBorder="1" applyProtection="1">
      <protection locked="0"/>
    </xf>
    <xf numFmtId="165" fontId="6" fillId="8" borderId="4" xfId="6" applyNumberFormat="1" applyFill="1" applyBorder="1" applyAlignment="1" applyProtection="1">
      <alignment horizontal="center"/>
      <protection locked="0"/>
    </xf>
    <xf numFmtId="0" fontId="6" fillId="7" borderId="4" xfId="6" applyFill="1" applyBorder="1" applyAlignment="1" applyProtection="1">
      <alignment horizontal="center"/>
      <protection locked="0"/>
    </xf>
    <xf numFmtId="1" fontId="6" fillId="8" borderId="4" xfId="6" applyNumberFormat="1" applyFill="1" applyBorder="1" applyAlignment="1" applyProtection="1">
      <alignment horizontal="center"/>
      <protection locked="0"/>
    </xf>
    <xf numFmtId="0" fontId="35" fillId="0" borderId="0" xfId="0" applyFont="1" applyAlignment="1">
      <alignment horizontal="right"/>
    </xf>
    <xf numFmtId="0" fontId="41" fillId="0" borderId="0" xfId="0" applyFont="1"/>
    <xf numFmtId="0" fontId="42" fillId="0" borderId="0" xfId="0" applyFont="1"/>
    <xf numFmtId="0" fontId="43" fillId="0" borderId="0" xfId="0" applyFont="1"/>
    <xf numFmtId="9" fontId="43" fillId="0" borderId="0" xfId="0" applyNumberFormat="1" applyFont="1"/>
    <xf numFmtId="0" fontId="42" fillId="0" borderId="0" xfId="0" applyFont="1" applyAlignment="1">
      <alignment horizontal="right"/>
    </xf>
    <xf numFmtId="0" fontId="32" fillId="4" borderId="21" xfId="5" applyFont="1" applyFill="1" applyBorder="1" applyAlignment="1">
      <alignment horizontal="center" vertical="center"/>
    </xf>
    <xf numFmtId="0" fontId="42" fillId="14" borderId="0" xfId="0" applyFont="1" applyFill="1"/>
    <xf numFmtId="9" fontId="43" fillId="14" borderId="0" xfId="3" applyFont="1" applyFill="1"/>
    <xf numFmtId="9" fontId="43" fillId="14" borderId="0" xfId="0" applyNumberFormat="1" applyFont="1" applyFill="1"/>
    <xf numFmtId="0" fontId="43" fillId="14" borderId="0" xfId="0" applyFont="1" applyFill="1"/>
    <xf numFmtId="0" fontId="16" fillId="0" borderId="0" xfId="0" applyFont="1" applyAlignment="1">
      <alignment horizontal="right"/>
    </xf>
    <xf numFmtId="0" fontId="6" fillId="5" borderId="0" xfId="0" applyFont="1" applyFill="1" applyAlignment="1">
      <alignment horizontal="left" vertical="top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0" fontId="7" fillId="7" borderId="0" xfId="0" applyFont="1" applyFill="1" applyAlignment="1" applyProtection="1">
      <alignment vertical="center"/>
      <protection locked="0"/>
    </xf>
    <xf numFmtId="0" fontId="6" fillId="0" borderId="0" xfId="0" applyFont="1" applyAlignment="1">
      <alignment horizontal="left" vertical="top"/>
    </xf>
    <xf numFmtId="0" fontId="5" fillId="3" borderId="5" xfId="0" applyFont="1" applyFill="1" applyBorder="1" applyAlignment="1">
      <alignment horizontal="center" vertical="center"/>
    </xf>
    <xf numFmtId="169" fontId="6" fillId="8" borderId="0" xfId="0" applyNumberFormat="1" applyFont="1" applyFill="1" applyAlignment="1" applyProtection="1">
      <alignment horizontal="left" vertical="center"/>
      <protection locked="0"/>
    </xf>
    <xf numFmtId="0" fontId="32" fillId="4" borderId="21" xfId="0" applyFont="1" applyFill="1" applyBorder="1" applyAlignment="1">
      <alignment vertical="center"/>
    </xf>
    <xf numFmtId="0" fontId="32" fillId="4" borderId="14" xfId="0" applyFont="1" applyFill="1" applyBorder="1" applyAlignment="1">
      <alignment vertical="center"/>
    </xf>
    <xf numFmtId="0" fontId="32" fillId="4" borderId="15" xfId="0" applyFont="1" applyFill="1" applyBorder="1" applyAlignment="1">
      <alignment vertical="center"/>
    </xf>
    <xf numFmtId="0" fontId="32" fillId="4" borderId="21" xfId="0" applyFont="1" applyFill="1" applyBorder="1" applyAlignment="1">
      <alignment horizontal="left" vertical="center" wrapText="1"/>
    </xf>
    <xf numFmtId="0" fontId="32" fillId="4" borderId="14" xfId="0" applyFont="1" applyFill="1" applyBorder="1" applyAlignment="1">
      <alignment horizontal="left" vertical="center" wrapText="1"/>
    </xf>
    <xf numFmtId="0" fontId="32" fillId="4" borderId="15" xfId="0" applyFont="1" applyFill="1" applyBorder="1" applyAlignment="1">
      <alignment horizontal="left" vertical="center" wrapText="1"/>
    </xf>
    <xf numFmtId="0" fontId="32" fillId="4" borderId="21" xfId="0" applyFont="1" applyFill="1" applyBorder="1" applyAlignment="1">
      <alignment horizontal="right" vertical="center"/>
    </xf>
    <xf numFmtId="0" fontId="32" fillId="4" borderId="14" xfId="0" applyFont="1" applyFill="1" applyBorder="1" applyAlignment="1">
      <alignment horizontal="right" vertical="center"/>
    </xf>
    <xf numFmtId="0" fontId="32" fillId="4" borderId="25" xfId="5" applyFont="1" applyFill="1" applyBorder="1" applyAlignment="1">
      <alignment vertical="center"/>
    </xf>
    <xf numFmtId="0" fontId="32" fillId="4" borderId="24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5" fillId="6" borderId="6" xfId="5" applyFont="1" applyFill="1" applyBorder="1" applyAlignment="1">
      <alignment horizontal="center" vertical="center"/>
    </xf>
    <xf numFmtId="0" fontId="28" fillId="4" borderId="20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center" wrapText="1"/>
    </xf>
    <xf numFmtId="0" fontId="28" fillId="4" borderId="27" xfId="5" applyFont="1" applyFill="1" applyBorder="1" applyAlignment="1">
      <alignment horizontal="center" vertical="center" wrapText="1"/>
    </xf>
    <xf numFmtId="0" fontId="28" fillId="4" borderId="23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top" wrapText="1"/>
    </xf>
    <xf numFmtId="0" fontId="28" fillId="4" borderId="27" xfId="5" applyFont="1" applyFill="1" applyBorder="1" applyAlignment="1">
      <alignment horizontal="center" vertical="top" wrapText="1"/>
    </xf>
    <xf numFmtId="0" fontId="28" fillId="4" borderId="28" xfId="5" applyFont="1" applyFill="1" applyBorder="1" applyAlignment="1">
      <alignment horizontal="center" vertical="top" wrapText="1"/>
    </xf>
    <xf numFmtId="0" fontId="32" fillId="4" borderId="21" xfId="5" applyFont="1" applyFill="1" applyBorder="1" applyAlignment="1">
      <alignment horizontal="left" vertical="center"/>
    </xf>
    <xf numFmtId="0" fontId="32" fillId="4" borderId="14" xfId="5" applyFont="1" applyFill="1" applyBorder="1" applyAlignment="1">
      <alignment horizontal="left" vertical="center"/>
    </xf>
    <xf numFmtId="0" fontId="6" fillId="7" borderId="11" xfId="5" applyFont="1" applyFill="1" applyBorder="1" applyProtection="1">
      <protection locked="0"/>
    </xf>
    <xf numFmtId="0" fontId="6" fillId="7" borderId="6" xfId="5" applyFont="1" applyFill="1" applyBorder="1" applyProtection="1">
      <protection locked="0"/>
    </xf>
    <xf numFmtId="0" fontId="32" fillId="4" borderId="21" xfId="5" applyFont="1" applyFill="1" applyBorder="1" applyAlignment="1">
      <alignment vertical="center"/>
    </xf>
    <xf numFmtId="0" fontId="32" fillId="4" borderId="15" xfId="5" applyFont="1" applyFill="1" applyBorder="1" applyAlignment="1">
      <alignment vertical="center"/>
    </xf>
    <xf numFmtId="0" fontId="28" fillId="4" borderId="27" xfId="5" applyFont="1" applyFill="1" applyBorder="1" applyAlignment="1">
      <alignment horizontal="center" wrapText="1"/>
    </xf>
    <xf numFmtId="0" fontId="28" fillId="4" borderId="28" xfId="5" applyFont="1" applyFill="1" applyBorder="1" applyAlignment="1">
      <alignment horizontal="center" wrapText="1"/>
    </xf>
    <xf numFmtId="0" fontId="8" fillId="7" borderId="11" xfId="5" applyFill="1" applyBorder="1" applyProtection="1">
      <protection locked="0"/>
    </xf>
    <xf numFmtId="0" fontId="8" fillId="7" borderId="6" xfId="5" applyFill="1" applyBorder="1" applyProtection="1">
      <protection locked="0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Alignment="1" applyProtection="1">
      <alignment horizontal="left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Alignment="1" applyProtection="1">
      <alignment horizontal="center" vertical="center"/>
      <protection hidden="1"/>
    </xf>
  </cellXfs>
  <cellStyles count="7">
    <cellStyle name="Komma" xfId="2" builtinId="3"/>
    <cellStyle name="Link" xfId="1" builtinId="8"/>
    <cellStyle name="Prozent" xfId="3" builtinId="5"/>
    <cellStyle name="Standard" xfId="0" builtinId="0"/>
    <cellStyle name="Standard 2" xfId="4" xr:uid="{00000000-0005-0000-0000-000004000000}"/>
    <cellStyle name="Standard_etool_4_Stand_23_11_05-neu" xfId="5" xr:uid="{00000000-0005-0000-0000-000005000000}"/>
    <cellStyle name="Standard_etool_4_Stand_23_11_05-neu 2" xfId="6" xr:uid="{00000000-0005-0000-0000-000006000000}"/>
  </cellStyles>
  <dxfs count="1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AEAEA"/>
      <color rgb="FFD7E5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0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>
          <a:extLst>
            <a:ext uri="{FF2B5EF4-FFF2-40B4-BE49-F238E27FC236}">
              <a16:creationId xmlns:a16="http://schemas.microsoft.com/office/drawing/2014/main" id="{00000000-0008-0000-0400-000079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>
          <a:extLst>
            <a:ext uri="{FF2B5EF4-FFF2-40B4-BE49-F238E27FC236}">
              <a16:creationId xmlns:a16="http://schemas.microsoft.com/office/drawing/2014/main" id="{00000000-0008-0000-0400-00007A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>
          <a:extLst>
            <a:ext uri="{FF2B5EF4-FFF2-40B4-BE49-F238E27FC236}">
              <a16:creationId xmlns:a16="http://schemas.microsoft.com/office/drawing/2014/main" id="{00000000-0008-0000-0400-00007B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>
          <a:extLst>
            <a:ext uri="{FF2B5EF4-FFF2-40B4-BE49-F238E27FC236}">
              <a16:creationId xmlns:a16="http://schemas.microsoft.com/office/drawing/2014/main" id="{00000000-0008-0000-0400-00007C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>
          <a:extLst>
            <a:ext uri="{FF2B5EF4-FFF2-40B4-BE49-F238E27FC236}">
              <a16:creationId xmlns:a16="http://schemas.microsoft.com/office/drawing/2014/main" id="{00000000-0008-0000-0400-00007D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>
          <a:extLst>
            <a:ext uri="{FF2B5EF4-FFF2-40B4-BE49-F238E27FC236}">
              <a16:creationId xmlns:a16="http://schemas.microsoft.com/office/drawing/2014/main" id="{00000000-0008-0000-0400-00007E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>
          <a:extLst>
            <a:ext uri="{FF2B5EF4-FFF2-40B4-BE49-F238E27FC236}">
              <a16:creationId xmlns:a16="http://schemas.microsoft.com/office/drawing/2014/main" id="{00000000-0008-0000-0400-00007F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>
          <a:extLst>
            <a:ext uri="{FF2B5EF4-FFF2-40B4-BE49-F238E27FC236}">
              <a16:creationId xmlns:a16="http://schemas.microsoft.com/office/drawing/2014/main" id="{00000000-0008-0000-0400-000080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>
          <a:extLst>
            <a:ext uri="{FF2B5EF4-FFF2-40B4-BE49-F238E27FC236}">
              <a16:creationId xmlns:a16="http://schemas.microsoft.com/office/drawing/2014/main" id="{00000000-0008-0000-0400-000081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24</xdr:row>
          <xdr:rowOff>402771</xdr:rowOff>
        </xdr:from>
        <xdr:to>
          <xdr:col>2</xdr:col>
          <xdr:colOff>315686</xdr:colOff>
          <xdr:row>24</xdr:row>
          <xdr:rowOff>620486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  <a:ext uri="{FF2B5EF4-FFF2-40B4-BE49-F238E27FC236}">
                  <a16:creationId xmlns:a16="http://schemas.microsoft.com/office/drawing/2014/main" id="{00000000-0008-0000-0400-0000C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32657</xdr:colOff>
          <xdr:row>26</xdr:row>
          <xdr:rowOff>419100</xdr:rowOff>
        </xdr:from>
        <xdr:to>
          <xdr:col>2</xdr:col>
          <xdr:colOff>337457</xdr:colOff>
          <xdr:row>26</xdr:row>
          <xdr:rowOff>642257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  <a:ext uri="{FF2B5EF4-FFF2-40B4-BE49-F238E27FC236}">
                  <a16:creationId xmlns:a16="http://schemas.microsoft.com/office/drawing/2014/main" id="{00000000-0008-0000-0400-0000C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28</xdr:row>
          <xdr:rowOff>451757</xdr:rowOff>
        </xdr:from>
        <xdr:to>
          <xdr:col>2</xdr:col>
          <xdr:colOff>315686</xdr:colOff>
          <xdr:row>28</xdr:row>
          <xdr:rowOff>669471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  <a:ext uri="{FF2B5EF4-FFF2-40B4-BE49-F238E27FC236}">
                  <a16:creationId xmlns:a16="http://schemas.microsoft.com/office/drawing/2014/main" id="{00000000-0008-0000-0400-0000C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28</xdr:row>
          <xdr:rowOff>429986</xdr:rowOff>
        </xdr:from>
        <xdr:to>
          <xdr:col>1</xdr:col>
          <xdr:colOff>315686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  <a:ext uri="{FF2B5EF4-FFF2-40B4-BE49-F238E27FC236}">
                  <a16:creationId xmlns:a16="http://schemas.microsoft.com/office/drawing/2014/main" id="{00000000-0008-0000-0400-0000CC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642257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  <a:ext uri="{FF2B5EF4-FFF2-40B4-BE49-F238E27FC236}">
                  <a16:creationId xmlns:a16="http://schemas.microsoft.com/office/drawing/2014/main" id="{00000000-0008-0000-0400-0000C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26</xdr:row>
          <xdr:rowOff>429986</xdr:rowOff>
        </xdr:from>
        <xdr:to>
          <xdr:col>1</xdr:col>
          <xdr:colOff>315686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  <a:ext uri="{FF2B5EF4-FFF2-40B4-BE49-F238E27FC236}">
                  <a16:creationId xmlns:a16="http://schemas.microsoft.com/office/drawing/2014/main" id="{00000000-0008-0000-0400-0000C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429986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  <a:ext uri="{FF2B5EF4-FFF2-40B4-BE49-F238E27FC236}">
                  <a16:creationId xmlns:a16="http://schemas.microsoft.com/office/drawing/2014/main" id="{00000000-0008-0000-0400-0000CF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440871</xdr:rowOff>
        </xdr:from>
        <xdr:to>
          <xdr:col>0</xdr:col>
          <xdr:colOff>304800</xdr:colOff>
          <xdr:row>24</xdr:row>
          <xdr:rowOff>658586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  <a:ext uri="{FF2B5EF4-FFF2-40B4-BE49-F238E27FC236}">
                  <a16:creationId xmlns:a16="http://schemas.microsoft.com/office/drawing/2014/main" id="{00000000-0008-0000-0400-0000D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680357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  <a:ext uri="{FF2B5EF4-FFF2-40B4-BE49-F238E27FC236}">
                  <a16:creationId xmlns:a16="http://schemas.microsoft.com/office/drawing/2014/main" id="{00000000-0008-0000-0400-0000D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136071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descr="Tabellen umbenennen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5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linguee.de/deutsch-englisch/uebersetzung/Restaurants.html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theme="6" tint="-0.249977111117893"/>
    <pageSetUpPr fitToPage="1"/>
  </sheetPr>
  <dimension ref="A1:J93"/>
  <sheetViews>
    <sheetView showGridLines="0" tabSelected="1" workbookViewId="0">
      <selection activeCell="B5" sqref="B5:D5"/>
    </sheetView>
  </sheetViews>
  <sheetFormatPr baseColWidth="10" defaultColWidth="11.5625" defaultRowHeight="15" x14ac:dyDescent="0.35"/>
  <cols>
    <col min="1" max="1" width="19" style="118" customWidth="1"/>
    <col min="2" max="2" width="50" style="118" customWidth="1"/>
    <col min="3" max="3" width="16.875" style="118" customWidth="1"/>
    <col min="4" max="4" width="3.0625" style="118" customWidth="1"/>
    <col min="5" max="5" width="7.3125" style="120" customWidth="1"/>
    <col min="6" max="10" width="7.3125" style="118" customWidth="1"/>
    <col min="11" max="16384" width="11.5625" style="118"/>
  </cols>
  <sheetData>
    <row r="1" spans="1:10" ht="28.5" customHeight="1" x14ac:dyDescent="0.6">
      <c r="A1" s="63" t="str">
        <f>VLOOKUP(ADDRESS(ROW(),COLUMN(),4),MatrixTexteT1,2,FALSE)&amp;" "&amp;Version</f>
        <v>Outil de lumière du jour ECO V2023.2</v>
      </c>
      <c r="B1" s="116"/>
      <c r="C1" s="116"/>
      <c r="D1" s="212" t="str">
        <f>VLOOKUP(ADDRESS(ROW(),COLUMN(),4),MatrixTexteT1,2,FALSE)</f>
        <v>A utiliser jusqu'à 31.12.2026</v>
      </c>
      <c r="E1" s="117"/>
      <c r="F1" s="116"/>
      <c r="G1" s="116"/>
      <c r="H1" s="116"/>
      <c r="I1" s="116"/>
      <c r="J1" s="116"/>
    </row>
    <row r="2" spans="1:10" ht="9" customHeight="1" x14ac:dyDescent="0.35">
      <c r="A2" s="119"/>
      <c r="B2" s="119"/>
      <c r="C2" s="119"/>
      <c r="D2" s="119"/>
    </row>
    <row r="3" spans="1:10" ht="24.75" customHeight="1" x14ac:dyDescent="0.4">
      <c r="A3" s="121" t="str">
        <f>VLOOKUP(ADDRESS(ROW(),COLUMN(),4),MatrixTexteT1,2,FALSE)</f>
        <v>Objet</v>
      </c>
      <c r="B3" s="121"/>
      <c r="C3" s="121"/>
      <c r="D3" s="121"/>
      <c r="E3" s="122"/>
      <c r="F3" s="64"/>
      <c r="G3" s="64"/>
      <c r="H3" s="64"/>
    </row>
    <row r="4" spans="1:10" s="24" customFormat="1" ht="9.75" customHeight="1" x14ac:dyDescent="0.35">
      <c r="A4" s="123"/>
      <c r="B4" s="123"/>
      <c r="C4" s="123"/>
      <c r="D4" s="123"/>
      <c r="E4" s="82"/>
    </row>
    <row r="5" spans="1:10" s="24" customFormat="1" ht="15" customHeight="1" thickBot="1" x14ac:dyDescent="0.4">
      <c r="A5" s="178" t="str">
        <f>VLOOKUP(ADDRESS(ROW(),COLUMN(),4),MatrixTexteT1,2,FALSE)</f>
        <v>Projet</v>
      </c>
      <c r="B5" s="271"/>
      <c r="C5" s="271"/>
      <c r="D5" s="271"/>
      <c r="E5" s="82"/>
    </row>
    <row r="6" spans="1:10" s="24" customFormat="1" ht="15" customHeight="1" thickTop="1" x14ac:dyDescent="0.35">
      <c r="A6" s="82"/>
      <c r="B6" s="272"/>
      <c r="C6" s="272"/>
      <c r="D6" s="272"/>
      <c r="E6" s="82"/>
    </row>
    <row r="7" spans="1:10" s="24" customFormat="1" ht="9" customHeight="1" x14ac:dyDescent="0.35">
      <c r="A7" s="82"/>
      <c r="B7" s="82"/>
      <c r="C7" s="82"/>
      <c r="D7" s="123"/>
      <c r="E7" s="82"/>
    </row>
    <row r="8" spans="1:10" s="24" customFormat="1" ht="15" customHeight="1" x14ac:dyDescent="0.35">
      <c r="A8" s="178" t="str">
        <f>VLOOKUP(ADDRESS(ROW(),COLUMN(),4),MatrixTexteT1,2,FALSE)</f>
        <v>Projet de construction</v>
      </c>
      <c r="B8" s="273"/>
      <c r="C8" s="273"/>
      <c r="D8" s="273"/>
      <c r="E8" s="124"/>
      <c r="G8" s="125"/>
    </row>
    <row r="9" spans="1:10" s="24" customFormat="1" ht="15" customHeight="1" x14ac:dyDescent="0.35">
      <c r="A9" s="82"/>
      <c r="B9" s="126" t="str">
        <f>IF(Bauvorhaben=Neubau,Texte!$B$241,IF(Bauvorhaben=Erneuerung,Texte!$B$240,Texte!$B$29))</f>
        <v>Saisissez d'abord les données du projet dans l'onglet 'Résumé'.</v>
      </c>
      <c r="C9" s="127"/>
      <c r="D9" s="123"/>
      <c r="E9" s="128"/>
      <c r="G9" s="129"/>
    </row>
    <row r="10" spans="1:10" s="24" customFormat="1" ht="9" customHeight="1" x14ac:dyDescent="0.35">
      <c r="A10" s="82"/>
      <c r="B10" s="82"/>
      <c r="C10" s="82"/>
      <c r="D10" s="123"/>
      <c r="E10" s="130"/>
      <c r="G10" s="131"/>
    </row>
    <row r="11" spans="1:10" s="24" customFormat="1" ht="15" customHeight="1" x14ac:dyDescent="0.35">
      <c r="A11" s="82" t="str">
        <f>VLOOKUP(ADDRESS(ROW(),COLUMN(),4),MatrixTexteT1,2,FALSE)</f>
        <v>Utilisation</v>
      </c>
      <c r="B11" s="273"/>
      <c r="C11" s="273"/>
      <c r="D11" s="273"/>
      <c r="E11" s="130"/>
      <c r="G11" s="131"/>
    </row>
    <row r="12" spans="1:10" s="24" customFormat="1" ht="15" customHeight="1" x14ac:dyDescent="0.35">
      <c r="A12" s="82"/>
      <c r="B12" s="126" t="str">
        <f>VLOOKUP(ADDRESS(ROW(),COLUMN(),4),MatrixTexteT1,2,FALSE)</f>
        <v>Choisissez l'utilisation qui représente la plus grande surface.</v>
      </c>
      <c r="C12" s="127"/>
      <c r="D12" s="123"/>
      <c r="E12" s="130"/>
      <c r="G12" s="131"/>
    </row>
    <row r="13" spans="1:10" s="24" customFormat="1" ht="9" customHeight="1" x14ac:dyDescent="0.35">
      <c r="A13" s="82"/>
      <c r="B13" s="82"/>
      <c r="C13" s="82"/>
      <c r="D13" s="123"/>
      <c r="E13" s="130"/>
      <c r="G13" s="131"/>
    </row>
    <row r="14" spans="1:10" s="24" customFormat="1" ht="15" customHeight="1" thickBot="1" x14ac:dyDescent="0.4">
      <c r="A14" s="178" t="str">
        <f>VLOOKUP(ADDRESS(ROW(),COLUMN(),4),MatrixTexteT1,2,FALSE)</f>
        <v>Maître de l'ouvrage</v>
      </c>
      <c r="B14" s="271"/>
      <c r="C14" s="271"/>
      <c r="D14" s="271"/>
      <c r="E14" s="82"/>
    </row>
    <row r="15" spans="1:10" s="24" customFormat="1" ht="12.9" thickTop="1" x14ac:dyDescent="0.35">
      <c r="A15" s="82"/>
      <c r="B15" s="272"/>
      <c r="C15" s="272"/>
      <c r="D15" s="272"/>
      <c r="E15" s="82"/>
    </row>
    <row r="16" spans="1:10" s="24" customFormat="1" ht="9" customHeight="1" x14ac:dyDescent="0.35">
      <c r="A16" s="82"/>
      <c r="B16" s="82"/>
      <c r="C16" s="82"/>
      <c r="D16" s="123"/>
      <c r="E16" s="132"/>
    </row>
    <row r="17" spans="1:5" s="24" customFormat="1" ht="15" customHeight="1" thickBot="1" x14ac:dyDescent="0.4">
      <c r="A17" s="178" t="str">
        <f>VLOOKUP(ADDRESS(ROW(),COLUMN(),4),MatrixTexteT1,2,FALSE)</f>
        <v>Architecte</v>
      </c>
      <c r="B17" s="271"/>
      <c r="C17" s="271"/>
      <c r="D17" s="271"/>
      <c r="E17" s="82"/>
    </row>
    <row r="18" spans="1:5" s="24" customFormat="1" ht="15" customHeight="1" thickTop="1" x14ac:dyDescent="0.35">
      <c r="A18" s="82"/>
      <c r="B18" s="272"/>
      <c r="C18" s="272"/>
      <c r="D18" s="272"/>
      <c r="E18" s="82"/>
    </row>
    <row r="19" spans="1:5" s="24" customFormat="1" ht="9" customHeight="1" x14ac:dyDescent="0.35">
      <c r="A19" s="82"/>
      <c r="B19" s="82"/>
      <c r="C19" s="82"/>
      <c r="D19" s="123"/>
      <c r="E19" s="82"/>
    </row>
    <row r="20" spans="1:5" s="24" customFormat="1" ht="15" customHeight="1" thickBot="1" x14ac:dyDescent="0.4">
      <c r="A20" s="178" t="str">
        <f>VLOOKUP(ADDRESS(ROW(),COLUMN(),4),MatrixTexteT1,2,FALSE)</f>
        <v>Planificateur électricité</v>
      </c>
      <c r="B20" s="271"/>
      <c r="C20" s="271"/>
      <c r="D20" s="271"/>
      <c r="E20" s="82"/>
    </row>
    <row r="21" spans="1:5" s="134" customFormat="1" ht="15" customHeight="1" thickTop="1" x14ac:dyDescent="0.35">
      <c r="A21" s="82"/>
      <c r="B21" s="272"/>
      <c r="C21" s="272"/>
      <c r="D21" s="272"/>
      <c r="E21" s="133"/>
    </row>
    <row r="22" spans="1:5" s="24" customFormat="1" ht="9" customHeight="1" x14ac:dyDescent="0.35">
      <c r="A22" s="82"/>
      <c r="B22" s="82"/>
      <c r="C22" s="82"/>
      <c r="D22" s="123"/>
      <c r="E22" s="82"/>
    </row>
    <row r="23" spans="1:5" s="24" customFormat="1" ht="15" customHeight="1" thickBot="1" x14ac:dyDescent="0.4">
      <c r="A23" s="178" t="str">
        <f>VLOOKUP(ADDRESS(ROW(),COLUMN(),4),MatrixTexteT1,2,FALSE)</f>
        <v>Planificateur éclairage</v>
      </c>
      <c r="B23" s="271"/>
      <c r="C23" s="271"/>
      <c r="D23" s="271"/>
      <c r="E23" s="82"/>
    </row>
    <row r="24" spans="1:5" s="24" customFormat="1" ht="15" customHeight="1" thickTop="1" x14ac:dyDescent="0.35">
      <c r="A24" s="82"/>
      <c r="B24" s="272"/>
      <c r="C24" s="272"/>
      <c r="D24" s="272"/>
      <c r="E24" s="82"/>
    </row>
    <row r="25" spans="1:5" s="24" customFormat="1" ht="9" customHeight="1" x14ac:dyDescent="0.35">
      <c r="A25" s="82"/>
      <c r="B25" s="82"/>
      <c r="C25" s="82"/>
      <c r="D25" s="123"/>
      <c r="E25" s="82"/>
    </row>
    <row r="26" spans="1:5" s="24" customFormat="1" ht="15" customHeight="1" thickBot="1" x14ac:dyDescent="0.4">
      <c r="A26" s="178" t="str">
        <f>VLOOKUP(ADDRESS(ROW(),COLUMN(),4),MatrixTexteT1,2,FALSE)</f>
        <v>Auteur du justificatif</v>
      </c>
      <c r="B26" s="271"/>
      <c r="C26" s="271"/>
      <c r="D26" s="271"/>
      <c r="E26" s="82"/>
    </row>
    <row r="27" spans="1:5" s="24" customFormat="1" ht="15" customHeight="1" thickTop="1" x14ac:dyDescent="0.35">
      <c r="A27" s="82"/>
      <c r="B27" s="272"/>
      <c r="C27" s="272"/>
      <c r="D27" s="272"/>
      <c r="E27" s="82"/>
    </row>
    <row r="28" spans="1:5" s="24" customFormat="1" ht="9" customHeight="1" x14ac:dyDescent="0.35">
      <c r="A28" s="82"/>
      <c r="B28" s="82"/>
      <c r="C28" s="82"/>
      <c r="D28" s="135"/>
      <c r="E28" s="82"/>
    </row>
    <row r="29" spans="1:5" s="24" customFormat="1" ht="15" customHeight="1" x14ac:dyDescent="0.35">
      <c r="A29" s="178" t="str">
        <f>VLOOKUP(ADDRESS(ROW(),COLUMN(),4),MatrixTexteT1,2,FALSE)</f>
        <v>Date</v>
      </c>
      <c r="B29" s="276"/>
      <c r="C29" s="276"/>
      <c r="D29" s="276"/>
      <c r="E29" s="82"/>
    </row>
    <row r="30" spans="1:5" s="24" customFormat="1" ht="25.5" customHeight="1" x14ac:dyDescent="0.35">
      <c r="A30" s="82"/>
      <c r="B30" s="82"/>
      <c r="C30" s="82"/>
      <c r="D30" s="135"/>
      <c r="E30" s="82"/>
    </row>
    <row r="31" spans="1:5" s="137" customFormat="1" ht="25.5" customHeight="1" x14ac:dyDescent="0.35">
      <c r="A31" s="121" t="str">
        <f>VLOOKUP(ADDRESS(ROW(),COLUMN(),4),MatrixTexteT1,2,FALSE)</f>
        <v>Récapitulation des résultats pour la lumière du jour</v>
      </c>
      <c r="B31" s="136"/>
      <c r="C31" s="136"/>
      <c r="D31" s="143" t="str">
        <f>VLOOKUP(ADDRESS(ROW(),COLUMN(),4),MatrixTexteT1,2,FALSE)</f>
        <v>Plateforme des labels : si rempli min. 50% transféré.</v>
      </c>
      <c r="E31" s="123"/>
    </row>
    <row r="32" spans="1:5" ht="9.75" customHeight="1" x14ac:dyDescent="0.35">
      <c r="A32" s="123"/>
      <c r="B32" s="123"/>
      <c r="C32" s="123"/>
      <c r="D32" s="123"/>
    </row>
    <row r="33" spans="1:5" ht="15.45" thickBot="1" x14ac:dyDescent="0.4">
      <c r="A33" s="138" t="str">
        <f>VLOOKUP(ADDRESS(ROW(),COLUMN(),4),MatrixTexteT1,2,FALSE)</f>
        <v>Surface totale de tous les locaux saisis</v>
      </c>
      <c r="B33" s="138"/>
      <c r="C33" s="139">
        <f>Lumière_du_jour!N38</f>
        <v>0</v>
      </c>
      <c r="D33" s="138" t="s">
        <v>140</v>
      </c>
    </row>
    <row r="34" spans="1:5" ht="15.9" thickTop="1" thickBot="1" x14ac:dyDescent="0.4">
      <c r="A34" s="140" t="str">
        <f>VLOOKUP(ADDRESS(ROW(),COLUMN(),4),MatrixTexteT1,2,FALSE)</f>
        <v xml:space="preserve">Surface avec un résultat insuffisant </v>
      </c>
      <c r="B34" s="140"/>
      <c r="C34" s="141">
        <f>Lumière_du_jour!N39</f>
        <v>0</v>
      </c>
      <c r="D34" s="140" t="s">
        <v>140</v>
      </c>
    </row>
    <row r="35" spans="1:5" ht="15.9" thickTop="1" thickBot="1" x14ac:dyDescent="0.4">
      <c r="A35" s="140" t="str">
        <f>Lumière_du_jour!B39</f>
        <v>Part de surface avec un résultat insuffisant</v>
      </c>
      <c r="B35" s="140"/>
      <c r="C35" s="142">
        <f>Lumière_du_jour!P39</f>
        <v>0</v>
      </c>
      <c r="D35" s="140" t="s">
        <v>138</v>
      </c>
    </row>
    <row r="36" spans="1:5" ht="15.9" thickTop="1" thickBot="1" x14ac:dyDescent="0.4">
      <c r="A36" s="140" t="str">
        <f>Lumière_du_jour!B38</f>
        <v>Degré total d'autonomie en lumière du jour sur l'ensemble des locaux</v>
      </c>
      <c r="B36" s="140"/>
      <c r="C36" s="142">
        <f>Lumière_du_jour!P38</f>
        <v>0</v>
      </c>
      <c r="D36" s="140" t="s">
        <v>138</v>
      </c>
    </row>
    <row r="37" spans="1:5" ht="25.5" customHeight="1" thickTop="1" x14ac:dyDescent="0.35">
      <c r="A37" s="186" t="str">
        <f>VLOOKUP(ADDRESS(ROW(),COLUMN(),4),MatrixTexteT1,2,FALSE)</f>
        <v>Les exigences du complément ECO</v>
      </c>
      <c r="B37" s="185"/>
      <c r="C37" s="275" t="str">
        <f>Lumière_du_jour!N40</f>
        <v>ne sont pas remplies</v>
      </c>
      <c r="D37" s="275"/>
    </row>
    <row r="38" spans="1:5" ht="25.5" customHeight="1" x14ac:dyDescent="0.35">
      <c r="A38" s="82"/>
      <c r="B38" s="82"/>
      <c r="C38" s="82"/>
      <c r="D38" s="82"/>
    </row>
    <row r="39" spans="1:5" s="137" customFormat="1" ht="25.5" customHeight="1" x14ac:dyDescent="0.35">
      <c r="A39" s="121" t="str">
        <f>VLOOKUP(ADDRESS(ROW(),COLUMN(),4),MatrixTexteT1,2,FALSE)</f>
        <v>Récapitulation des résultats pour les vues</v>
      </c>
      <c r="B39" s="136"/>
      <c r="C39" s="136"/>
      <c r="D39" s="136"/>
      <c r="E39" s="123"/>
    </row>
    <row r="40" spans="1:5" ht="9.75" customHeight="1" x14ac:dyDescent="0.35">
      <c r="A40" s="123"/>
      <c r="B40" s="123"/>
      <c r="C40" s="123"/>
      <c r="D40" s="123"/>
    </row>
    <row r="41" spans="1:5" ht="15.45" thickBot="1" x14ac:dyDescent="0.4">
      <c r="A41" s="138" t="str">
        <f>VLOOKUP(ADDRESS(ROW(),COLUMN(),4),MatrixTexteT1,2,FALSE)</f>
        <v>Surface totale de tous les locaux saisis</v>
      </c>
      <c r="B41" s="138"/>
      <c r="C41" s="139">
        <f>Vues!G38</f>
        <v>0</v>
      </c>
      <c r="D41" s="138" t="s">
        <v>140</v>
      </c>
    </row>
    <row r="42" spans="1:5" ht="15.9" thickTop="1" thickBot="1" x14ac:dyDescent="0.4">
      <c r="A42" s="140" t="str">
        <f>VLOOKUP(ADDRESS(ROW(),COLUMN(),4),MatrixTexteT1,2,FALSE)</f>
        <v xml:space="preserve">Surface avec un résultat insuffisant </v>
      </c>
      <c r="B42" s="140"/>
      <c r="C42" s="141">
        <f>Vues!G39</f>
        <v>0</v>
      </c>
      <c r="D42" s="140" t="s">
        <v>140</v>
      </c>
    </row>
    <row r="43" spans="1:5" ht="15.9" thickTop="1" thickBot="1" x14ac:dyDescent="0.4">
      <c r="A43" s="140" t="str">
        <f>Vues!B39</f>
        <v>Part de surface avec un résultat insuffisant</v>
      </c>
      <c r="B43" s="140"/>
      <c r="C43" s="142">
        <f>Vues!H39*100</f>
        <v>0</v>
      </c>
      <c r="D43" s="140" t="s">
        <v>138</v>
      </c>
    </row>
    <row r="44" spans="1:5" ht="15.9" thickTop="1" thickBot="1" x14ac:dyDescent="0.4">
      <c r="A44" s="140" t="str">
        <f>Vues!B38</f>
        <v>Qualité des vues (sur l'ensemble des locaux)</v>
      </c>
      <c r="B44" s="140"/>
      <c r="C44" s="211" t="str">
        <f>Vues!H38</f>
        <v>insuffisant</v>
      </c>
      <c r="D44" s="140"/>
    </row>
    <row r="45" spans="1:5" ht="25.5" customHeight="1" thickTop="1" x14ac:dyDescent="0.35">
      <c r="A45" s="186" t="str">
        <f>VLOOKUP(ADDRESS(ROW(),COLUMN(),4),MatrixTexteT1,2,FALSE)</f>
        <v>Les exigences du complément ECO</v>
      </c>
      <c r="B45" s="185"/>
      <c r="C45" s="275" t="str">
        <f>Vues!G40</f>
        <v>ne sont pas remplies</v>
      </c>
      <c r="D45" s="275"/>
    </row>
    <row r="46" spans="1:5" ht="25.5" customHeight="1" x14ac:dyDescent="0.35">
      <c r="A46" s="82"/>
      <c r="B46" s="82"/>
      <c r="C46" s="82"/>
      <c r="D46" s="82"/>
    </row>
    <row r="47" spans="1:5" ht="26.25" customHeight="1" x14ac:dyDescent="0.35">
      <c r="A47" s="121" t="str">
        <f>VLOOKUP(ADDRESS(ROW(),COLUMN(),4),MatrixTexteT1,2,FALSE)</f>
        <v>Procédé</v>
      </c>
      <c r="B47" s="136"/>
      <c r="C47" s="136"/>
      <c r="D47" s="143" t="str">
        <f>VLOOKUP(ADDRESS(ROW(),COLUMN(),4),MatrixTexteT1,2,FALSE)</f>
        <v xml:space="preserve">Un manuel détaillé est disponible sur le site internet de Minergie.   </v>
      </c>
    </row>
    <row r="48" spans="1:5" ht="9" customHeight="1" x14ac:dyDescent="0.35">
      <c r="A48" s="82"/>
      <c r="B48" s="144"/>
      <c r="C48" s="144"/>
      <c r="D48" s="145"/>
    </row>
    <row r="49" spans="1:5" s="147" customFormat="1" ht="16.5" customHeight="1" x14ac:dyDescent="0.35">
      <c r="A49" s="274" t="str">
        <f t="shared" ref="A49:A59" si="0">VLOOKUP(ADDRESS(ROW(),COLUMN(),4),MatrixTexteT1,2,FALSE)</f>
        <v>Saisissez d'abord les données du projet dans l'onglet 'Résumé'.</v>
      </c>
      <c r="B49" s="274"/>
      <c r="C49" s="274"/>
      <c r="D49" s="274"/>
      <c r="E49" s="146"/>
    </row>
    <row r="50" spans="1:5" s="147" customFormat="1" ht="16.5" customHeight="1" x14ac:dyDescent="0.35">
      <c r="A50" s="270" t="str">
        <f t="shared" si="0"/>
        <v>Si le projet est une rénovation veuillez remplir l'onglet 'Questionnaire_rénovation'.</v>
      </c>
      <c r="B50" s="270"/>
      <c r="C50" s="270"/>
      <c r="D50" s="270"/>
      <c r="E50" s="146"/>
    </row>
    <row r="51" spans="1:5" s="147" customFormat="1" ht="16.5" customHeight="1" x14ac:dyDescent="0.35">
      <c r="A51" s="270" t="str">
        <f t="shared" si="0"/>
        <v>Si le projet est une nouvelle contruction, veuillez ouvrir l'onglet 'Fenêtres'.</v>
      </c>
      <c r="B51" s="270"/>
      <c r="C51" s="270"/>
      <c r="D51" s="270"/>
      <c r="E51" s="146"/>
    </row>
    <row r="52" spans="1:5" s="147" customFormat="1" ht="16.5" customHeight="1" x14ac:dyDescent="0.35">
      <c r="A52" s="270" t="str">
        <f t="shared" si="0"/>
        <v>Saisissez ensuite les données des fenêtres du bâtiment dans le tableau 'Fenêtres'.</v>
      </c>
      <c r="B52" s="270"/>
      <c r="C52" s="270"/>
      <c r="D52" s="270"/>
      <c r="E52" s="146"/>
    </row>
    <row r="53" spans="1:5" s="147" customFormat="1" ht="16.5" customHeight="1" x14ac:dyDescent="0.35">
      <c r="A53" s="270" t="str">
        <f t="shared" si="0"/>
        <v>Comme prochaine étape, ouvrez l'onglet 'Lumière_du_jour', saisissez les données des locaux et selectionnez les fenêtres utilisées.</v>
      </c>
      <c r="B53" s="270"/>
      <c r="C53" s="270"/>
      <c r="D53" s="270"/>
      <c r="E53" s="146"/>
    </row>
    <row r="54" spans="1:5" s="147" customFormat="1" ht="16.5" customHeight="1" x14ac:dyDescent="0.35">
      <c r="A54" s="270" t="str">
        <f t="shared" si="0"/>
        <v>Enfin, ouvrez l'onglet 'Vues' entrez par local les élments de vue visibles.</v>
      </c>
      <c r="B54" s="270"/>
      <c r="C54" s="270"/>
      <c r="D54" s="270"/>
      <c r="E54" s="146"/>
    </row>
    <row r="55" spans="1:5" s="147" customFormat="1" ht="16.5" customHeight="1" x14ac:dyDescent="0.35">
      <c r="A55" s="270" t="str">
        <f t="shared" si="0"/>
        <v>Des textes d'aide apparaissent lorsque vous cliquez sur les zones de saisie.</v>
      </c>
      <c r="B55" s="270"/>
      <c r="C55" s="270"/>
      <c r="D55" s="270"/>
      <c r="E55" s="146"/>
    </row>
    <row r="56" spans="1:5" s="147" customFormat="1" ht="16.5" customHeight="1" x14ac:dyDescent="0.35">
      <c r="A56" s="270" t="str">
        <f t="shared" si="0"/>
        <v>Les résultats seront affichés au bas de la page 'Lumière_du_jour' et 'Résumé'.</v>
      </c>
      <c r="B56" s="270"/>
      <c r="C56" s="270"/>
      <c r="D56" s="270"/>
      <c r="E56" s="146"/>
    </row>
    <row r="57" spans="1:5" s="147" customFormat="1" ht="16.5" customHeight="1" x14ac:dyDescent="0.35">
      <c r="A57" s="270" t="str">
        <f t="shared" si="0"/>
        <v>Si un tableau n'est pas suffisant, vous pouvez saisir les résultats provenant d'autres feuilles au bas de la feuille 'Lumière_du_jour'.</v>
      </c>
      <c r="B57" s="270"/>
      <c r="C57" s="270"/>
      <c r="D57" s="270"/>
      <c r="E57" s="146"/>
    </row>
    <row r="58" spans="1:5" s="147" customFormat="1" ht="16.5" customHeight="1" x14ac:dyDescent="0.35">
      <c r="A58" s="270" t="str">
        <f t="shared" si="0"/>
        <v>Si vous avez des questions concernant la certification, veuillez contacter l'office de certification responsable.</v>
      </c>
      <c r="B58" s="270"/>
      <c r="C58" s="270"/>
      <c r="D58" s="270"/>
      <c r="E58" s="146"/>
    </row>
    <row r="59" spans="1:5" x14ac:dyDescent="0.35">
      <c r="A59" s="270" t="str">
        <f t="shared" si="0"/>
        <v>Dérogation pour les écoles : taux de l'autonomie en lumière naturelle d'au moins 40% (voir prescription 140.01 Lumière du jour).</v>
      </c>
      <c r="B59" s="270"/>
      <c r="C59" s="270"/>
      <c r="D59" s="270"/>
    </row>
    <row r="93" spans="1:1" x14ac:dyDescent="0.35">
      <c r="A93" s="148">
        <v>5</v>
      </c>
    </row>
  </sheetData>
  <sheetProtection algorithmName="SHA-512" hashValue="UoGKoBBlOsxEKP8k9lulLTJFPllDCAnr4iaw2ANbgetPpWkt1VjG6lsddDcTEFpjwyorCMgRPPmqZLyQLFcjYA==" saltValue="TZFGwE/A1p6mgfrIV+KADQ==" spinCount="100000" sheet="1" objects="1" scenarios="1"/>
  <mergeCells count="28">
    <mergeCell ref="B17:D17"/>
    <mergeCell ref="B18:D18"/>
    <mergeCell ref="B20:D20"/>
    <mergeCell ref="B21:D21"/>
    <mergeCell ref="A49:D49"/>
    <mergeCell ref="B23:D23"/>
    <mergeCell ref="C45:D45"/>
    <mergeCell ref="B24:D24"/>
    <mergeCell ref="B26:D26"/>
    <mergeCell ref="B27:D27"/>
    <mergeCell ref="B29:D29"/>
    <mergeCell ref="C37:D37"/>
    <mergeCell ref="B5:D5"/>
    <mergeCell ref="B6:D6"/>
    <mergeCell ref="B8:D8"/>
    <mergeCell ref="B14:D14"/>
    <mergeCell ref="B15:D15"/>
    <mergeCell ref="B11:D11"/>
    <mergeCell ref="A51:D51"/>
    <mergeCell ref="A50:D50"/>
    <mergeCell ref="A59:D59"/>
    <mergeCell ref="A56:D56"/>
    <mergeCell ref="A52:D52"/>
    <mergeCell ref="A53:D53"/>
    <mergeCell ref="A55:D55"/>
    <mergeCell ref="A57:D57"/>
    <mergeCell ref="A58:D58"/>
    <mergeCell ref="A54:D54"/>
  </mergeCells>
  <phoneticPr fontId="0" type="noConversion"/>
  <dataValidations count="2">
    <dataValidation type="list" allowBlank="1" showInputMessage="1" showErrorMessage="1" sqref="B8:D8" xr:uid="{00000000-0002-0000-0000-000000000000}">
      <formula1>ListBauvorhaben</formula1>
    </dataValidation>
    <dataValidation type="list" allowBlank="1" showInputMessage="1" showErrorMessage="1" sqref="B11 C11 D11" xr:uid="{F0411810-CC21-48B4-A22A-CACF65A65A6F}">
      <formula1>ListNutzung</formula1>
    </dataValidation>
  </dataValidations>
  <printOptions horizontalCentered="1"/>
  <pageMargins left="0.59055118110236227" right="0.59055118110236227" top="0.94488188976377963" bottom="0.59055118110236227" header="0.59055118110236227" footer="0.39370078740157483"/>
  <pageSetup paperSize="9" scale="85" orientation="portrait" horizontalDpi="4294967292" verticalDpi="300" r:id="rId1"/>
  <headerFooter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rgb="FFCBDE90"/>
    <pageSetUpPr fitToPage="1"/>
  </sheetPr>
  <dimension ref="A1:R40"/>
  <sheetViews>
    <sheetView showGridLines="0" workbookViewId="0">
      <selection activeCell="B5" sqref="B5"/>
    </sheetView>
  </sheetViews>
  <sheetFormatPr baseColWidth="10" defaultColWidth="11.5625" defaultRowHeight="12.45" x14ac:dyDescent="0.3"/>
  <cols>
    <col min="1" max="1" width="2.6875" style="26" customWidth="1"/>
    <col min="2" max="2" width="5.3125" style="26" customWidth="1"/>
    <col min="3" max="3" width="17.6875" style="238" customWidth="1"/>
    <col min="4" max="5" width="5.3125" style="243" customWidth="1"/>
    <col min="6" max="6" width="7.25" style="243" bestFit="1" customWidth="1"/>
    <col min="7" max="7" width="6.0625" style="243" customWidth="1"/>
    <col min="8" max="8" width="7.3125" style="243" bestFit="1" customWidth="1"/>
    <col min="9" max="9" width="8.4375" style="243" bestFit="1" customWidth="1"/>
    <col min="10" max="10" width="6.5625" style="243" bestFit="1" customWidth="1"/>
    <col min="11" max="11" width="32.25" style="238" customWidth="1"/>
    <col min="12" max="12" width="31.5625" style="238" customWidth="1"/>
    <col min="13" max="13" width="41" style="238" customWidth="1"/>
    <col min="14" max="18" width="10.4375" style="212" hidden="1" customWidth="1"/>
    <col min="19" max="16384" width="11.5625" style="26"/>
  </cols>
  <sheetData>
    <row r="1" spans="1:18" ht="28.5" customHeight="1" x14ac:dyDescent="0.3">
      <c r="A1" s="111" t="str">
        <f>IF(Projektbez="","",Projektbez&amp;" – ")&amp;Texte!B43</f>
        <v>Données des fenêtres</v>
      </c>
    </row>
    <row r="2" spans="1:18" ht="9" customHeight="1" x14ac:dyDescent="0.3">
      <c r="B2" s="149">
        <v>1</v>
      </c>
      <c r="C2" s="239">
        <v>2</v>
      </c>
      <c r="D2" s="244">
        <v>3</v>
      </c>
      <c r="E2" s="244">
        <v>4</v>
      </c>
      <c r="F2" s="244">
        <v>5</v>
      </c>
      <c r="G2" s="244">
        <v>6</v>
      </c>
      <c r="H2" s="244">
        <v>7</v>
      </c>
      <c r="I2" s="244">
        <v>8</v>
      </c>
      <c r="J2" s="244">
        <v>9</v>
      </c>
      <c r="K2" s="239">
        <v>10</v>
      </c>
      <c r="L2" s="239">
        <v>11</v>
      </c>
      <c r="M2" s="239">
        <v>12</v>
      </c>
      <c r="N2" s="246">
        <v>13</v>
      </c>
      <c r="O2" s="246">
        <v>14</v>
      </c>
      <c r="P2" s="246">
        <v>15</v>
      </c>
      <c r="Q2" s="246">
        <v>16</v>
      </c>
      <c r="R2" s="246">
        <v>17</v>
      </c>
    </row>
    <row r="3" spans="1:18" ht="18.75" customHeight="1" x14ac:dyDescent="0.3">
      <c r="A3" s="150"/>
      <c r="B3" s="277" t="str">
        <f>VLOOKUP(ADDRESS(ROW(),COLUMN(),4),MatrixTexteT2,2,FALSE)</f>
        <v>Données des fenêtres</v>
      </c>
      <c r="C3" s="278"/>
      <c r="D3" s="278"/>
      <c r="E3" s="278"/>
      <c r="F3" s="278"/>
      <c r="G3" s="278"/>
      <c r="H3" s="278"/>
      <c r="I3" s="278"/>
      <c r="J3" s="279"/>
      <c r="K3" s="280" t="str">
        <f>VLOOKUP(ADDRESS(ROW(),COLUMN(),4),MatrixTexteT2,2,FALSE)</f>
        <v>Protéction solaire et ombrage dû à l'horizon</v>
      </c>
      <c r="L3" s="281"/>
      <c r="M3" s="282"/>
      <c r="N3" s="283" t="s">
        <v>144</v>
      </c>
      <c r="O3" s="284"/>
      <c r="P3" s="284"/>
      <c r="Q3" s="284"/>
      <c r="R3" s="284"/>
    </row>
    <row r="4" spans="1:18" ht="45.75" customHeight="1" thickBot="1" x14ac:dyDescent="0.45">
      <c r="A4" s="171" t="s">
        <v>658</v>
      </c>
      <c r="B4" s="151" t="str">
        <f>VLOOKUP(ADDRESS(ROW(),COLUMN(),4),MatrixTexteT2,2,FALSE)</f>
        <v>Abrév.
-</v>
      </c>
      <c r="C4" s="240" t="str">
        <f t="shared" ref="C4:J4" si="0">VLOOKUP(ADDRESS(ROW(),COLUMN(),4),MatrixTexteT2,2,FALSE)</f>
        <v>Dénomination
-</v>
      </c>
      <c r="D4" s="152" t="str">
        <f t="shared" si="0"/>
        <v>Lon-gueur
m</v>
      </c>
      <c r="E4" s="152" t="str">
        <f t="shared" si="0"/>
        <v>Hau-teur
m</v>
      </c>
      <c r="F4" s="152" t="str">
        <f t="shared" si="0"/>
        <v>Part vitrée
%</v>
      </c>
      <c r="G4" s="152" t="str">
        <f t="shared" si="0"/>
        <v>Valeur Tau
%</v>
      </c>
      <c r="H4" s="152" t="str">
        <f t="shared" si="0"/>
        <v>Hauteur du linteau 
m</v>
      </c>
      <c r="I4" s="152" t="str">
        <f t="shared" si="0"/>
        <v>Porte-à-faux
m</v>
      </c>
      <c r="J4" s="152" t="str">
        <f t="shared" si="0"/>
        <v>Lumière zénithale
-</v>
      </c>
      <c r="K4" s="240" t="str">
        <f>VLOOKUP(ADDRESS(ROW(),COLUMN(),4),MatrixTexteT2,2,FALSE)</f>
        <v>Type
-</v>
      </c>
      <c r="L4" s="240" t="str">
        <f>VLOOKUP(ADDRESS(ROW(),COLUMN(),4),MatrixTexteT2,2,FALSE)</f>
        <v>Commande
-</v>
      </c>
      <c r="M4" s="240" t="str">
        <f>VLOOKUP(ADDRESS(ROW(),COLUMN(),4),MatrixTexteT2,2,FALSE)</f>
        <v>Ombrage dû à l'horizon
-</v>
      </c>
      <c r="N4" s="247" t="s">
        <v>141</v>
      </c>
      <c r="O4" s="247" t="s">
        <v>75</v>
      </c>
      <c r="P4" s="247" t="s">
        <v>79</v>
      </c>
      <c r="Q4" s="247" t="s">
        <v>111</v>
      </c>
      <c r="R4" s="248" t="s">
        <v>142</v>
      </c>
    </row>
    <row r="5" spans="1:18" ht="13.3" thickTop="1" thickBot="1" x14ac:dyDescent="0.35">
      <c r="A5" s="153">
        <v>1</v>
      </c>
      <c r="B5" s="155" t="s">
        <v>1110</v>
      </c>
      <c r="C5" s="155"/>
      <c r="D5" s="156"/>
      <c r="E5" s="175"/>
      <c r="F5" s="157"/>
      <c r="G5" s="157"/>
      <c r="H5" s="156"/>
      <c r="I5" s="158"/>
      <c r="J5" s="159"/>
      <c r="K5" s="160"/>
      <c r="L5" s="160"/>
      <c r="M5" s="160"/>
      <c r="N5" s="249">
        <f t="shared" ref="N5:N39" si="1">IF(J5=Ja,ROUND(D5*E5*F5*2,2),ROUND(D5*E5*F5,2))</f>
        <v>0</v>
      </c>
      <c r="O5" s="250">
        <f t="shared" ref="O5:O39" si="2">IF(K5="",0,VLOOKUP(K5,MatrixSoSchu,2,FALSE))</f>
        <v>0</v>
      </c>
      <c r="P5" s="250">
        <f t="shared" ref="P5:P39" si="3">IF(L5="",0,VLOOKUP(L5,MatrixSoControl,2,FALSE))</f>
        <v>0</v>
      </c>
      <c r="Q5" s="250">
        <f t="shared" ref="Q5:Q39" si="4">IF(M5="",0,VLOOKUP(M5,MatrixHorizont,2,FALSE))</f>
        <v>0</v>
      </c>
      <c r="R5" s="250">
        <f>ROUND(IF(I5&gt;2,2,1/(1-(0.25*I5))),2)</f>
        <v>1</v>
      </c>
    </row>
    <row r="6" spans="1:18" ht="13.3" thickTop="1" thickBot="1" x14ac:dyDescent="0.35">
      <c r="A6" s="154">
        <v>2</v>
      </c>
      <c r="B6" s="161"/>
      <c r="C6" s="161"/>
      <c r="D6" s="162"/>
      <c r="E6" s="176"/>
      <c r="F6" s="163"/>
      <c r="G6" s="163"/>
      <c r="H6" s="162"/>
      <c r="I6" s="164"/>
      <c r="J6" s="159"/>
      <c r="K6" s="160"/>
      <c r="L6" s="160"/>
      <c r="M6" s="160"/>
      <c r="N6" s="249">
        <f t="shared" si="1"/>
        <v>0</v>
      </c>
      <c r="O6" s="251">
        <f t="shared" si="2"/>
        <v>0</v>
      </c>
      <c r="P6" s="251">
        <f t="shared" si="3"/>
        <v>0</v>
      </c>
      <c r="Q6" s="251">
        <f t="shared" si="4"/>
        <v>0</v>
      </c>
      <c r="R6" s="251">
        <f t="shared" ref="R6:R39" si="5">ROUND(IF(I6&gt;2,2,1/(1-(0.25*I6))),2)</f>
        <v>1</v>
      </c>
    </row>
    <row r="7" spans="1:18" ht="13.3" thickTop="1" thickBot="1" x14ac:dyDescent="0.35">
      <c r="A7" s="154">
        <v>3</v>
      </c>
      <c r="B7" s="161"/>
      <c r="C7" s="161"/>
      <c r="D7" s="162"/>
      <c r="E7" s="176"/>
      <c r="F7" s="163"/>
      <c r="G7" s="163"/>
      <c r="H7" s="162"/>
      <c r="I7" s="164"/>
      <c r="J7" s="159"/>
      <c r="K7" s="160"/>
      <c r="L7" s="160"/>
      <c r="M7" s="160"/>
      <c r="N7" s="249">
        <f t="shared" si="1"/>
        <v>0</v>
      </c>
      <c r="O7" s="251">
        <f t="shared" si="2"/>
        <v>0</v>
      </c>
      <c r="P7" s="251">
        <f t="shared" si="3"/>
        <v>0</v>
      </c>
      <c r="Q7" s="251">
        <f t="shared" si="4"/>
        <v>0</v>
      </c>
      <c r="R7" s="251">
        <f t="shared" si="5"/>
        <v>1</v>
      </c>
    </row>
    <row r="8" spans="1:18" ht="13.3" thickTop="1" thickBot="1" x14ac:dyDescent="0.35">
      <c r="A8" s="154">
        <v>4</v>
      </c>
      <c r="B8" s="161"/>
      <c r="C8" s="161"/>
      <c r="D8" s="162"/>
      <c r="E8" s="176"/>
      <c r="F8" s="163"/>
      <c r="G8" s="163"/>
      <c r="H8" s="162"/>
      <c r="I8" s="164"/>
      <c r="J8" s="159"/>
      <c r="K8" s="160"/>
      <c r="L8" s="160"/>
      <c r="M8" s="160"/>
      <c r="N8" s="249">
        <f t="shared" si="1"/>
        <v>0</v>
      </c>
      <c r="O8" s="251">
        <f t="shared" si="2"/>
        <v>0</v>
      </c>
      <c r="P8" s="251">
        <f t="shared" si="3"/>
        <v>0</v>
      </c>
      <c r="Q8" s="251">
        <f t="shared" si="4"/>
        <v>0</v>
      </c>
      <c r="R8" s="251">
        <f t="shared" si="5"/>
        <v>1</v>
      </c>
    </row>
    <row r="9" spans="1:18" ht="13.3" thickTop="1" thickBot="1" x14ac:dyDescent="0.35">
      <c r="A9" s="154">
        <v>5</v>
      </c>
      <c r="B9" s="161"/>
      <c r="C9" s="161"/>
      <c r="D9" s="162"/>
      <c r="E9" s="176"/>
      <c r="F9" s="163"/>
      <c r="G9" s="163"/>
      <c r="H9" s="162"/>
      <c r="I9" s="164"/>
      <c r="J9" s="159"/>
      <c r="K9" s="160"/>
      <c r="L9" s="160"/>
      <c r="M9" s="160"/>
      <c r="N9" s="249">
        <f t="shared" si="1"/>
        <v>0</v>
      </c>
      <c r="O9" s="251">
        <f t="shared" si="2"/>
        <v>0</v>
      </c>
      <c r="P9" s="251">
        <f t="shared" si="3"/>
        <v>0</v>
      </c>
      <c r="Q9" s="251">
        <f t="shared" si="4"/>
        <v>0</v>
      </c>
      <c r="R9" s="251">
        <f t="shared" si="5"/>
        <v>1</v>
      </c>
    </row>
    <row r="10" spans="1:18" ht="13.3" thickTop="1" thickBot="1" x14ac:dyDescent="0.35">
      <c r="A10" s="154">
        <v>6</v>
      </c>
      <c r="B10" s="161"/>
      <c r="C10" s="161"/>
      <c r="D10" s="162"/>
      <c r="E10" s="176"/>
      <c r="F10" s="163"/>
      <c r="G10" s="163"/>
      <c r="H10" s="162"/>
      <c r="I10" s="164"/>
      <c r="J10" s="159"/>
      <c r="K10" s="160"/>
      <c r="L10" s="160"/>
      <c r="M10" s="160"/>
      <c r="N10" s="249">
        <f t="shared" si="1"/>
        <v>0</v>
      </c>
      <c r="O10" s="251">
        <f t="shared" si="2"/>
        <v>0</v>
      </c>
      <c r="P10" s="251">
        <f t="shared" si="3"/>
        <v>0</v>
      </c>
      <c r="Q10" s="251">
        <f t="shared" si="4"/>
        <v>0</v>
      </c>
      <c r="R10" s="251">
        <f t="shared" si="5"/>
        <v>1</v>
      </c>
    </row>
    <row r="11" spans="1:18" ht="13.3" thickTop="1" thickBot="1" x14ac:dyDescent="0.35">
      <c r="A11" s="154">
        <v>7</v>
      </c>
      <c r="B11" s="161"/>
      <c r="C11" s="161"/>
      <c r="D11" s="162"/>
      <c r="E11" s="176"/>
      <c r="F11" s="163"/>
      <c r="G11" s="163"/>
      <c r="H11" s="162"/>
      <c r="I11" s="164"/>
      <c r="J11" s="159"/>
      <c r="K11" s="160"/>
      <c r="L11" s="160"/>
      <c r="M11" s="160"/>
      <c r="N11" s="249">
        <f t="shared" si="1"/>
        <v>0</v>
      </c>
      <c r="O11" s="251">
        <f t="shared" si="2"/>
        <v>0</v>
      </c>
      <c r="P11" s="251">
        <f t="shared" si="3"/>
        <v>0</v>
      </c>
      <c r="Q11" s="251">
        <f t="shared" si="4"/>
        <v>0</v>
      </c>
      <c r="R11" s="251">
        <f t="shared" si="5"/>
        <v>1</v>
      </c>
    </row>
    <row r="12" spans="1:18" ht="13.3" thickTop="1" thickBot="1" x14ac:dyDescent="0.35">
      <c r="A12" s="154">
        <v>8</v>
      </c>
      <c r="B12" s="161"/>
      <c r="C12" s="161"/>
      <c r="D12" s="162"/>
      <c r="E12" s="176"/>
      <c r="F12" s="163"/>
      <c r="G12" s="163"/>
      <c r="H12" s="162"/>
      <c r="I12" s="164"/>
      <c r="J12" s="159"/>
      <c r="K12" s="160"/>
      <c r="L12" s="160"/>
      <c r="M12" s="160"/>
      <c r="N12" s="249">
        <f t="shared" si="1"/>
        <v>0</v>
      </c>
      <c r="O12" s="251">
        <f t="shared" si="2"/>
        <v>0</v>
      </c>
      <c r="P12" s="251">
        <f t="shared" si="3"/>
        <v>0</v>
      </c>
      <c r="Q12" s="251">
        <f t="shared" si="4"/>
        <v>0</v>
      </c>
      <c r="R12" s="251">
        <f t="shared" si="5"/>
        <v>1</v>
      </c>
    </row>
    <row r="13" spans="1:18" ht="13.3" thickTop="1" thickBot="1" x14ac:dyDescent="0.35">
      <c r="A13" s="154">
        <v>9</v>
      </c>
      <c r="B13" s="161"/>
      <c r="C13" s="161"/>
      <c r="D13" s="162"/>
      <c r="E13" s="176"/>
      <c r="F13" s="163"/>
      <c r="G13" s="163"/>
      <c r="H13" s="162"/>
      <c r="I13" s="164"/>
      <c r="J13" s="159"/>
      <c r="K13" s="160"/>
      <c r="L13" s="160"/>
      <c r="M13" s="160"/>
      <c r="N13" s="249">
        <f t="shared" si="1"/>
        <v>0</v>
      </c>
      <c r="O13" s="251">
        <f t="shared" si="2"/>
        <v>0</v>
      </c>
      <c r="P13" s="251">
        <f t="shared" si="3"/>
        <v>0</v>
      </c>
      <c r="Q13" s="251">
        <f t="shared" si="4"/>
        <v>0</v>
      </c>
      <c r="R13" s="251">
        <f t="shared" si="5"/>
        <v>1</v>
      </c>
    </row>
    <row r="14" spans="1:18" ht="13.3" thickTop="1" thickBot="1" x14ac:dyDescent="0.35">
      <c r="A14" s="154">
        <v>10</v>
      </c>
      <c r="B14" s="161"/>
      <c r="C14" s="161"/>
      <c r="D14" s="162"/>
      <c r="E14" s="176"/>
      <c r="F14" s="163"/>
      <c r="G14" s="163"/>
      <c r="H14" s="162"/>
      <c r="I14" s="164"/>
      <c r="J14" s="159"/>
      <c r="K14" s="160"/>
      <c r="L14" s="160"/>
      <c r="M14" s="160"/>
      <c r="N14" s="249">
        <f t="shared" si="1"/>
        <v>0</v>
      </c>
      <c r="O14" s="251">
        <f t="shared" si="2"/>
        <v>0</v>
      </c>
      <c r="P14" s="251">
        <f t="shared" si="3"/>
        <v>0</v>
      </c>
      <c r="Q14" s="251">
        <f t="shared" si="4"/>
        <v>0</v>
      </c>
      <c r="R14" s="251">
        <f t="shared" si="5"/>
        <v>1</v>
      </c>
    </row>
    <row r="15" spans="1:18" ht="13.3" thickTop="1" thickBot="1" x14ac:dyDescent="0.35">
      <c r="A15" s="154">
        <v>11</v>
      </c>
      <c r="B15" s="161"/>
      <c r="C15" s="161"/>
      <c r="D15" s="162"/>
      <c r="E15" s="176"/>
      <c r="F15" s="163"/>
      <c r="G15" s="163"/>
      <c r="H15" s="162"/>
      <c r="I15" s="164"/>
      <c r="J15" s="159"/>
      <c r="K15" s="160"/>
      <c r="L15" s="160"/>
      <c r="M15" s="160"/>
      <c r="N15" s="249">
        <f t="shared" si="1"/>
        <v>0</v>
      </c>
      <c r="O15" s="251">
        <f t="shared" si="2"/>
        <v>0</v>
      </c>
      <c r="P15" s="251">
        <f t="shared" si="3"/>
        <v>0</v>
      </c>
      <c r="Q15" s="251">
        <f t="shared" si="4"/>
        <v>0</v>
      </c>
      <c r="R15" s="251">
        <f t="shared" si="5"/>
        <v>1</v>
      </c>
    </row>
    <row r="16" spans="1:18" ht="13.3" thickTop="1" thickBot="1" x14ac:dyDescent="0.35">
      <c r="A16" s="154">
        <v>12</v>
      </c>
      <c r="B16" s="161"/>
      <c r="C16" s="161"/>
      <c r="D16" s="162"/>
      <c r="E16" s="176"/>
      <c r="F16" s="163"/>
      <c r="G16" s="163"/>
      <c r="H16" s="162"/>
      <c r="I16" s="164"/>
      <c r="J16" s="159"/>
      <c r="K16" s="160"/>
      <c r="L16" s="160"/>
      <c r="M16" s="160"/>
      <c r="N16" s="249">
        <f t="shared" si="1"/>
        <v>0</v>
      </c>
      <c r="O16" s="251">
        <f t="shared" si="2"/>
        <v>0</v>
      </c>
      <c r="P16" s="251">
        <f t="shared" si="3"/>
        <v>0</v>
      </c>
      <c r="Q16" s="251">
        <f t="shared" si="4"/>
        <v>0</v>
      </c>
      <c r="R16" s="251">
        <f t="shared" si="5"/>
        <v>1</v>
      </c>
    </row>
    <row r="17" spans="1:18" ht="13.3" thickTop="1" thickBot="1" x14ac:dyDescent="0.35">
      <c r="A17" s="154">
        <v>13</v>
      </c>
      <c r="B17" s="161"/>
      <c r="C17" s="161"/>
      <c r="D17" s="162"/>
      <c r="E17" s="176"/>
      <c r="F17" s="163"/>
      <c r="G17" s="163"/>
      <c r="H17" s="162"/>
      <c r="I17" s="164"/>
      <c r="J17" s="159"/>
      <c r="K17" s="160"/>
      <c r="L17" s="160"/>
      <c r="M17" s="160"/>
      <c r="N17" s="249">
        <f t="shared" si="1"/>
        <v>0</v>
      </c>
      <c r="O17" s="251">
        <f t="shared" si="2"/>
        <v>0</v>
      </c>
      <c r="P17" s="251">
        <f t="shared" si="3"/>
        <v>0</v>
      </c>
      <c r="Q17" s="251">
        <f t="shared" si="4"/>
        <v>0</v>
      </c>
      <c r="R17" s="251">
        <f t="shared" si="5"/>
        <v>1</v>
      </c>
    </row>
    <row r="18" spans="1:18" ht="13.3" thickTop="1" thickBot="1" x14ac:dyDescent="0.35">
      <c r="A18" s="154">
        <v>14</v>
      </c>
      <c r="B18" s="161"/>
      <c r="C18" s="161"/>
      <c r="D18" s="162"/>
      <c r="E18" s="176"/>
      <c r="F18" s="163"/>
      <c r="G18" s="163"/>
      <c r="H18" s="162"/>
      <c r="I18" s="164"/>
      <c r="J18" s="159"/>
      <c r="K18" s="160"/>
      <c r="L18" s="160"/>
      <c r="M18" s="160"/>
      <c r="N18" s="249">
        <f t="shared" si="1"/>
        <v>0</v>
      </c>
      <c r="O18" s="251">
        <f t="shared" si="2"/>
        <v>0</v>
      </c>
      <c r="P18" s="251">
        <f t="shared" si="3"/>
        <v>0</v>
      </c>
      <c r="Q18" s="251">
        <f t="shared" si="4"/>
        <v>0</v>
      </c>
      <c r="R18" s="251">
        <f t="shared" si="5"/>
        <v>1</v>
      </c>
    </row>
    <row r="19" spans="1:18" ht="13.3" thickTop="1" thickBot="1" x14ac:dyDescent="0.35">
      <c r="A19" s="154">
        <v>15</v>
      </c>
      <c r="B19" s="161"/>
      <c r="C19" s="161"/>
      <c r="D19" s="162"/>
      <c r="E19" s="176"/>
      <c r="F19" s="163"/>
      <c r="G19" s="163"/>
      <c r="H19" s="162"/>
      <c r="I19" s="164"/>
      <c r="J19" s="159"/>
      <c r="K19" s="160"/>
      <c r="L19" s="160"/>
      <c r="M19" s="160"/>
      <c r="N19" s="249">
        <f t="shared" si="1"/>
        <v>0</v>
      </c>
      <c r="O19" s="251">
        <f t="shared" si="2"/>
        <v>0</v>
      </c>
      <c r="P19" s="251">
        <f t="shared" si="3"/>
        <v>0</v>
      </c>
      <c r="Q19" s="251">
        <f t="shared" si="4"/>
        <v>0</v>
      </c>
      <c r="R19" s="251">
        <f t="shared" si="5"/>
        <v>1</v>
      </c>
    </row>
    <row r="20" spans="1:18" ht="13.3" thickTop="1" thickBot="1" x14ac:dyDescent="0.35">
      <c r="A20" s="154">
        <v>16</v>
      </c>
      <c r="B20" s="161"/>
      <c r="C20" s="161"/>
      <c r="D20" s="162"/>
      <c r="E20" s="176"/>
      <c r="F20" s="163"/>
      <c r="G20" s="163"/>
      <c r="H20" s="162"/>
      <c r="I20" s="164"/>
      <c r="J20" s="159"/>
      <c r="K20" s="160"/>
      <c r="L20" s="160"/>
      <c r="M20" s="160"/>
      <c r="N20" s="249">
        <f t="shared" si="1"/>
        <v>0</v>
      </c>
      <c r="O20" s="251">
        <f t="shared" si="2"/>
        <v>0</v>
      </c>
      <c r="P20" s="251">
        <f t="shared" si="3"/>
        <v>0</v>
      </c>
      <c r="Q20" s="251">
        <f t="shared" si="4"/>
        <v>0</v>
      </c>
      <c r="R20" s="251">
        <f t="shared" si="5"/>
        <v>1</v>
      </c>
    </row>
    <row r="21" spans="1:18" ht="13.3" thickTop="1" thickBot="1" x14ac:dyDescent="0.35">
      <c r="A21" s="154">
        <v>17</v>
      </c>
      <c r="B21" s="161"/>
      <c r="C21" s="161"/>
      <c r="D21" s="162"/>
      <c r="E21" s="176"/>
      <c r="F21" s="163"/>
      <c r="G21" s="163"/>
      <c r="H21" s="162"/>
      <c r="I21" s="164"/>
      <c r="J21" s="159"/>
      <c r="K21" s="160"/>
      <c r="L21" s="160"/>
      <c r="M21" s="160"/>
      <c r="N21" s="249">
        <f t="shared" si="1"/>
        <v>0</v>
      </c>
      <c r="O21" s="251">
        <f t="shared" si="2"/>
        <v>0</v>
      </c>
      <c r="P21" s="251">
        <f t="shared" si="3"/>
        <v>0</v>
      </c>
      <c r="Q21" s="251">
        <f t="shared" si="4"/>
        <v>0</v>
      </c>
      <c r="R21" s="251">
        <f t="shared" si="5"/>
        <v>1</v>
      </c>
    </row>
    <row r="22" spans="1:18" ht="13.3" thickTop="1" thickBot="1" x14ac:dyDescent="0.35">
      <c r="A22" s="154">
        <v>18</v>
      </c>
      <c r="B22" s="161"/>
      <c r="C22" s="161"/>
      <c r="D22" s="162"/>
      <c r="E22" s="176"/>
      <c r="F22" s="163"/>
      <c r="G22" s="163"/>
      <c r="H22" s="162"/>
      <c r="I22" s="164"/>
      <c r="J22" s="159"/>
      <c r="K22" s="160"/>
      <c r="L22" s="160"/>
      <c r="M22" s="160"/>
      <c r="N22" s="249">
        <f t="shared" si="1"/>
        <v>0</v>
      </c>
      <c r="O22" s="251">
        <f t="shared" si="2"/>
        <v>0</v>
      </c>
      <c r="P22" s="251">
        <f t="shared" si="3"/>
        <v>0</v>
      </c>
      <c r="Q22" s="251">
        <f t="shared" si="4"/>
        <v>0</v>
      </c>
      <c r="R22" s="251">
        <f t="shared" si="5"/>
        <v>1</v>
      </c>
    </row>
    <row r="23" spans="1:18" ht="13.3" thickTop="1" thickBot="1" x14ac:dyDescent="0.35">
      <c r="A23" s="154">
        <v>19</v>
      </c>
      <c r="B23" s="155"/>
      <c r="C23" s="241"/>
      <c r="D23" s="156"/>
      <c r="E23" s="175"/>
      <c r="F23" s="157"/>
      <c r="G23" s="157"/>
      <c r="H23" s="156"/>
      <c r="I23" s="158"/>
      <c r="J23" s="159"/>
      <c r="K23" s="245"/>
      <c r="L23" s="245"/>
      <c r="M23" s="245"/>
      <c r="N23" s="249">
        <f t="shared" si="1"/>
        <v>0</v>
      </c>
      <c r="O23" s="251">
        <f t="shared" si="2"/>
        <v>0</v>
      </c>
      <c r="P23" s="251">
        <f t="shared" si="3"/>
        <v>0</v>
      </c>
      <c r="Q23" s="251">
        <f t="shared" si="4"/>
        <v>0</v>
      </c>
      <c r="R23" s="251">
        <f t="shared" si="5"/>
        <v>1</v>
      </c>
    </row>
    <row r="24" spans="1:18" ht="13.3" thickTop="1" thickBot="1" x14ac:dyDescent="0.35">
      <c r="A24" s="154">
        <v>20</v>
      </c>
      <c r="B24" s="161"/>
      <c r="C24" s="242"/>
      <c r="D24" s="162"/>
      <c r="E24" s="176"/>
      <c r="F24" s="163"/>
      <c r="G24" s="163"/>
      <c r="H24" s="162"/>
      <c r="I24" s="164"/>
      <c r="J24" s="159"/>
      <c r="K24" s="245"/>
      <c r="L24" s="245"/>
      <c r="M24" s="245"/>
      <c r="N24" s="249">
        <f t="shared" si="1"/>
        <v>0</v>
      </c>
      <c r="O24" s="251">
        <f t="shared" si="2"/>
        <v>0</v>
      </c>
      <c r="P24" s="251">
        <f t="shared" si="3"/>
        <v>0</v>
      </c>
      <c r="Q24" s="251">
        <f t="shared" si="4"/>
        <v>0</v>
      </c>
      <c r="R24" s="251">
        <f t="shared" si="5"/>
        <v>1</v>
      </c>
    </row>
    <row r="25" spans="1:18" ht="13.3" thickTop="1" thickBot="1" x14ac:dyDescent="0.35">
      <c r="A25" s="154">
        <v>21</v>
      </c>
      <c r="B25" s="161"/>
      <c r="C25" s="242"/>
      <c r="D25" s="162"/>
      <c r="E25" s="176"/>
      <c r="F25" s="163"/>
      <c r="G25" s="163"/>
      <c r="H25" s="162"/>
      <c r="I25" s="164"/>
      <c r="J25" s="159"/>
      <c r="K25" s="245"/>
      <c r="L25" s="245"/>
      <c r="M25" s="245"/>
      <c r="N25" s="249">
        <f t="shared" si="1"/>
        <v>0</v>
      </c>
      <c r="O25" s="251">
        <f t="shared" si="2"/>
        <v>0</v>
      </c>
      <c r="P25" s="251">
        <f t="shared" si="3"/>
        <v>0</v>
      </c>
      <c r="Q25" s="251">
        <f t="shared" si="4"/>
        <v>0</v>
      </c>
      <c r="R25" s="251">
        <f t="shared" si="5"/>
        <v>1</v>
      </c>
    </row>
    <row r="26" spans="1:18" ht="13.3" thickTop="1" thickBot="1" x14ac:dyDescent="0.35">
      <c r="A26" s="154">
        <v>22</v>
      </c>
      <c r="B26" s="161"/>
      <c r="C26" s="242"/>
      <c r="D26" s="162"/>
      <c r="E26" s="176"/>
      <c r="F26" s="163"/>
      <c r="G26" s="163"/>
      <c r="H26" s="162"/>
      <c r="I26" s="164"/>
      <c r="J26" s="159"/>
      <c r="K26" s="245"/>
      <c r="L26" s="245"/>
      <c r="M26" s="245"/>
      <c r="N26" s="249">
        <f t="shared" si="1"/>
        <v>0</v>
      </c>
      <c r="O26" s="251">
        <f t="shared" si="2"/>
        <v>0</v>
      </c>
      <c r="P26" s="251">
        <f t="shared" si="3"/>
        <v>0</v>
      </c>
      <c r="Q26" s="251">
        <f t="shared" si="4"/>
        <v>0</v>
      </c>
      <c r="R26" s="251">
        <f t="shared" si="5"/>
        <v>1</v>
      </c>
    </row>
    <row r="27" spans="1:18" ht="13.3" thickTop="1" thickBot="1" x14ac:dyDescent="0.35">
      <c r="A27" s="154">
        <v>23</v>
      </c>
      <c r="B27" s="161"/>
      <c r="C27" s="242"/>
      <c r="D27" s="162"/>
      <c r="E27" s="176"/>
      <c r="F27" s="163"/>
      <c r="G27" s="163"/>
      <c r="H27" s="162"/>
      <c r="I27" s="164"/>
      <c r="J27" s="159"/>
      <c r="K27" s="245"/>
      <c r="L27" s="245"/>
      <c r="M27" s="245"/>
      <c r="N27" s="249">
        <f t="shared" si="1"/>
        <v>0</v>
      </c>
      <c r="O27" s="251">
        <f t="shared" si="2"/>
        <v>0</v>
      </c>
      <c r="P27" s="251">
        <f t="shared" si="3"/>
        <v>0</v>
      </c>
      <c r="Q27" s="251">
        <f t="shared" si="4"/>
        <v>0</v>
      </c>
      <c r="R27" s="251">
        <f t="shared" si="5"/>
        <v>1</v>
      </c>
    </row>
    <row r="28" spans="1:18" ht="13.3" thickTop="1" thickBot="1" x14ac:dyDescent="0.35">
      <c r="A28" s="154">
        <v>24</v>
      </c>
      <c r="B28" s="161"/>
      <c r="C28" s="242"/>
      <c r="D28" s="162"/>
      <c r="E28" s="176"/>
      <c r="F28" s="163"/>
      <c r="G28" s="163"/>
      <c r="H28" s="162"/>
      <c r="I28" s="164"/>
      <c r="J28" s="159"/>
      <c r="K28" s="245"/>
      <c r="L28" s="245"/>
      <c r="M28" s="245"/>
      <c r="N28" s="249">
        <f t="shared" si="1"/>
        <v>0</v>
      </c>
      <c r="O28" s="251">
        <f t="shared" si="2"/>
        <v>0</v>
      </c>
      <c r="P28" s="251">
        <f t="shared" si="3"/>
        <v>0</v>
      </c>
      <c r="Q28" s="251">
        <f t="shared" si="4"/>
        <v>0</v>
      </c>
      <c r="R28" s="251">
        <f t="shared" si="5"/>
        <v>1</v>
      </c>
    </row>
    <row r="29" spans="1:18" ht="13.3" thickTop="1" thickBot="1" x14ac:dyDescent="0.35">
      <c r="A29" s="154">
        <v>25</v>
      </c>
      <c r="B29" s="161"/>
      <c r="C29" s="242"/>
      <c r="D29" s="162"/>
      <c r="E29" s="176"/>
      <c r="F29" s="163"/>
      <c r="G29" s="163"/>
      <c r="H29" s="162"/>
      <c r="I29" s="164"/>
      <c r="J29" s="159"/>
      <c r="K29" s="245"/>
      <c r="L29" s="245"/>
      <c r="M29" s="245"/>
      <c r="N29" s="249">
        <f t="shared" si="1"/>
        <v>0</v>
      </c>
      <c r="O29" s="251">
        <f t="shared" si="2"/>
        <v>0</v>
      </c>
      <c r="P29" s="251">
        <f t="shared" si="3"/>
        <v>0</v>
      </c>
      <c r="Q29" s="251">
        <f t="shared" si="4"/>
        <v>0</v>
      </c>
      <c r="R29" s="251">
        <f t="shared" si="5"/>
        <v>1</v>
      </c>
    </row>
    <row r="30" spans="1:18" ht="13.3" thickTop="1" thickBot="1" x14ac:dyDescent="0.35">
      <c r="A30" s="154">
        <v>26</v>
      </c>
      <c r="B30" s="161"/>
      <c r="C30" s="242"/>
      <c r="D30" s="162"/>
      <c r="E30" s="176"/>
      <c r="F30" s="163"/>
      <c r="G30" s="163"/>
      <c r="H30" s="162"/>
      <c r="I30" s="164"/>
      <c r="J30" s="159"/>
      <c r="K30" s="245"/>
      <c r="L30" s="245"/>
      <c r="M30" s="245"/>
      <c r="N30" s="249">
        <f t="shared" si="1"/>
        <v>0</v>
      </c>
      <c r="O30" s="251">
        <f t="shared" si="2"/>
        <v>0</v>
      </c>
      <c r="P30" s="251">
        <f t="shared" si="3"/>
        <v>0</v>
      </c>
      <c r="Q30" s="251">
        <f t="shared" si="4"/>
        <v>0</v>
      </c>
      <c r="R30" s="251">
        <f t="shared" si="5"/>
        <v>1</v>
      </c>
    </row>
    <row r="31" spans="1:18" ht="13.3" thickTop="1" thickBot="1" x14ac:dyDescent="0.35">
      <c r="A31" s="154">
        <v>27</v>
      </c>
      <c r="B31" s="161"/>
      <c r="C31" s="242"/>
      <c r="D31" s="162"/>
      <c r="E31" s="176"/>
      <c r="F31" s="163"/>
      <c r="G31" s="163"/>
      <c r="H31" s="162"/>
      <c r="I31" s="164"/>
      <c r="J31" s="159"/>
      <c r="K31" s="245"/>
      <c r="L31" s="245"/>
      <c r="M31" s="245"/>
      <c r="N31" s="249">
        <f t="shared" si="1"/>
        <v>0</v>
      </c>
      <c r="O31" s="251">
        <f t="shared" si="2"/>
        <v>0</v>
      </c>
      <c r="P31" s="251">
        <f t="shared" si="3"/>
        <v>0</v>
      </c>
      <c r="Q31" s="251">
        <f t="shared" si="4"/>
        <v>0</v>
      </c>
      <c r="R31" s="251">
        <f t="shared" si="5"/>
        <v>1</v>
      </c>
    </row>
    <row r="32" spans="1:18" ht="13.3" thickTop="1" thickBot="1" x14ac:dyDescent="0.35">
      <c r="A32" s="154">
        <v>28</v>
      </c>
      <c r="B32" s="161"/>
      <c r="C32" s="242"/>
      <c r="D32" s="162"/>
      <c r="E32" s="176"/>
      <c r="F32" s="163"/>
      <c r="G32" s="163"/>
      <c r="H32" s="162"/>
      <c r="I32" s="164"/>
      <c r="J32" s="159"/>
      <c r="K32" s="245"/>
      <c r="L32" s="245"/>
      <c r="M32" s="245"/>
      <c r="N32" s="249">
        <f t="shared" si="1"/>
        <v>0</v>
      </c>
      <c r="O32" s="251">
        <f t="shared" si="2"/>
        <v>0</v>
      </c>
      <c r="P32" s="251">
        <f t="shared" si="3"/>
        <v>0</v>
      </c>
      <c r="Q32" s="251">
        <f t="shared" si="4"/>
        <v>0</v>
      </c>
      <c r="R32" s="251">
        <f t="shared" si="5"/>
        <v>1</v>
      </c>
    </row>
    <row r="33" spans="1:18" ht="13.3" thickTop="1" thickBot="1" x14ac:dyDescent="0.35">
      <c r="A33" s="154">
        <v>29</v>
      </c>
      <c r="B33" s="161"/>
      <c r="C33" s="242"/>
      <c r="D33" s="162"/>
      <c r="E33" s="176"/>
      <c r="F33" s="163"/>
      <c r="G33" s="163"/>
      <c r="H33" s="162"/>
      <c r="I33" s="164"/>
      <c r="J33" s="159"/>
      <c r="K33" s="245"/>
      <c r="L33" s="245"/>
      <c r="M33" s="245"/>
      <c r="N33" s="249">
        <f t="shared" si="1"/>
        <v>0</v>
      </c>
      <c r="O33" s="251">
        <f t="shared" si="2"/>
        <v>0</v>
      </c>
      <c r="P33" s="251">
        <f t="shared" si="3"/>
        <v>0</v>
      </c>
      <c r="Q33" s="251">
        <f t="shared" si="4"/>
        <v>0</v>
      </c>
      <c r="R33" s="251">
        <f t="shared" si="5"/>
        <v>1</v>
      </c>
    </row>
    <row r="34" spans="1:18" ht="13.3" thickTop="1" thickBot="1" x14ac:dyDescent="0.35">
      <c r="A34" s="216">
        <v>30</v>
      </c>
      <c r="B34" s="161"/>
      <c r="C34" s="242"/>
      <c r="D34" s="162"/>
      <c r="E34" s="176"/>
      <c r="F34" s="163"/>
      <c r="G34" s="163"/>
      <c r="H34" s="162"/>
      <c r="I34" s="164"/>
      <c r="J34" s="159"/>
      <c r="K34" s="245"/>
      <c r="L34" s="245"/>
      <c r="M34" s="245"/>
      <c r="N34" s="249">
        <f t="shared" si="1"/>
        <v>0</v>
      </c>
      <c r="O34" s="252">
        <f t="shared" si="2"/>
        <v>0</v>
      </c>
      <c r="P34" s="252">
        <f t="shared" si="3"/>
        <v>0</v>
      </c>
      <c r="Q34" s="252">
        <f t="shared" si="4"/>
        <v>0</v>
      </c>
      <c r="R34" s="252">
        <f t="shared" si="5"/>
        <v>1</v>
      </c>
    </row>
    <row r="35" spans="1:18" ht="13.3" thickTop="1" thickBot="1" x14ac:dyDescent="0.35">
      <c r="A35" s="216">
        <v>31</v>
      </c>
      <c r="B35" s="161"/>
      <c r="C35" s="242"/>
      <c r="D35" s="162"/>
      <c r="E35" s="176"/>
      <c r="F35" s="163"/>
      <c r="G35" s="163"/>
      <c r="H35" s="162"/>
      <c r="I35" s="164"/>
      <c r="J35" s="159"/>
      <c r="K35" s="245"/>
      <c r="L35" s="245"/>
      <c r="M35" s="245"/>
      <c r="N35" s="249">
        <f t="shared" si="1"/>
        <v>0</v>
      </c>
      <c r="O35" s="252">
        <f t="shared" si="2"/>
        <v>0</v>
      </c>
      <c r="P35" s="252">
        <f t="shared" si="3"/>
        <v>0</v>
      </c>
      <c r="Q35" s="252">
        <f t="shared" si="4"/>
        <v>0</v>
      </c>
      <c r="R35" s="252">
        <f t="shared" si="5"/>
        <v>1</v>
      </c>
    </row>
    <row r="36" spans="1:18" ht="13.3" thickTop="1" thickBot="1" x14ac:dyDescent="0.35">
      <c r="A36" s="216">
        <v>32</v>
      </c>
      <c r="B36" s="161"/>
      <c r="C36" s="242"/>
      <c r="D36" s="162"/>
      <c r="E36" s="176"/>
      <c r="F36" s="163"/>
      <c r="G36" s="163"/>
      <c r="H36" s="162"/>
      <c r="I36" s="164"/>
      <c r="J36" s="159"/>
      <c r="K36" s="245"/>
      <c r="L36" s="245"/>
      <c r="M36" s="245"/>
      <c r="N36" s="249">
        <f t="shared" si="1"/>
        <v>0</v>
      </c>
      <c r="O36" s="252">
        <f t="shared" si="2"/>
        <v>0</v>
      </c>
      <c r="P36" s="252">
        <f t="shared" si="3"/>
        <v>0</v>
      </c>
      <c r="Q36" s="252">
        <f t="shared" si="4"/>
        <v>0</v>
      </c>
      <c r="R36" s="252">
        <f t="shared" si="5"/>
        <v>1</v>
      </c>
    </row>
    <row r="37" spans="1:18" ht="13.3" thickTop="1" thickBot="1" x14ac:dyDescent="0.35">
      <c r="A37" s="216">
        <v>33</v>
      </c>
      <c r="B37" s="161"/>
      <c r="C37" s="242"/>
      <c r="D37" s="162"/>
      <c r="E37" s="176"/>
      <c r="F37" s="163"/>
      <c r="G37" s="163"/>
      <c r="H37" s="162"/>
      <c r="I37" s="164"/>
      <c r="J37" s="159"/>
      <c r="K37" s="245"/>
      <c r="L37" s="245"/>
      <c r="M37" s="245"/>
      <c r="N37" s="249">
        <f t="shared" si="1"/>
        <v>0</v>
      </c>
      <c r="O37" s="252">
        <f t="shared" si="2"/>
        <v>0</v>
      </c>
      <c r="P37" s="252">
        <f t="shared" si="3"/>
        <v>0</v>
      </c>
      <c r="Q37" s="252">
        <f t="shared" si="4"/>
        <v>0</v>
      </c>
      <c r="R37" s="252">
        <f t="shared" si="5"/>
        <v>1</v>
      </c>
    </row>
    <row r="38" spans="1:18" ht="13.3" thickTop="1" thickBot="1" x14ac:dyDescent="0.35">
      <c r="A38" s="216">
        <v>34</v>
      </c>
      <c r="B38" s="161"/>
      <c r="C38" s="242"/>
      <c r="D38" s="162"/>
      <c r="E38" s="176"/>
      <c r="F38" s="163"/>
      <c r="G38" s="163"/>
      <c r="H38" s="162"/>
      <c r="I38" s="164"/>
      <c r="J38" s="159"/>
      <c r="K38" s="245"/>
      <c r="L38" s="245"/>
      <c r="M38" s="245"/>
      <c r="N38" s="249">
        <f t="shared" si="1"/>
        <v>0</v>
      </c>
      <c r="O38" s="252">
        <f t="shared" si="2"/>
        <v>0</v>
      </c>
      <c r="P38" s="252">
        <f t="shared" si="3"/>
        <v>0</v>
      </c>
      <c r="Q38" s="252">
        <f t="shared" si="4"/>
        <v>0</v>
      </c>
      <c r="R38" s="252">
        <f t="shared" si="5"/>
        <v>1</v>
      </c>
    </row>
    <row r="39" spans="1:18" ht="13.3" thickTop="1" thickBot="1" x14ac:dyDescent="0.35">
      <c r="A39" s="216">
        <v>35</v>
      </c>
      <c r="B39" s="161"/>
      <c r="C39" s="242"/>
      <c r="D39" s="162"/>
      <c r="E39" s="176"/>
      <c r="F39" s="163"/>
      <c r="G39" s="163"/>
      <c r="H39" s="162"/>
      <c r="I39" s="164"/>
      <c r="J39" s="159"/>
      <c r="K39" s="245"/>
      <c r="L39" s="245"/>
      <c r="M39" s="245"/>
      <c r="N39" s="249">
        <f t="shared" si="1"/>
        <v>0</v>
      </c>
      <c r="O39" s="252">
        <f t="shared" si="2"/>
        <v>0</v>
      </c>
      <c r="P39" s="252">
        <f t="shared" si="3"/>
        <v>0</v>
      </c>
      <c r="Q39" s="252">
        <f t="shared" si="4"/>
        <v>0</v>
      </c>
      <c r="R39" s="252">
        <f t="shared" si="5"/>
        <v>1</v>
      </c>
    </row>
    <row r="40" spans="1:18" ht="12.9" thickTop="1" x14ac:dyDescent="0.3"/>
  </sheetData>
  <sheetProtection algorithmName="SHA-512" hashValue="s5JA5toPzTTDP9SLuLpCNjDy+ylVRMAa/1K8eJv1KlopnJw+UMqj5LeRQvUxZGMMrNLCNqBGD2LdTrT9BbUfkQ==" saltValue="U69igd+Ln1aufM63EzWzgA==" spinCount="100000" sheet="1" objects="1" scenarios="1"/>
  <mergeCells count="3">
    <mergeCell ref="B3:J3"/>
    <mergeCell ref="K3:M3"/>
    <mergeCell ref="N3:R3"/>
  </mergeCells>
  <dataValidations count="420"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9" xr:uid="{00000000-0002-0000-0100-000007000000}">
      <formula1>0</formula1>
      <formula2>1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39" xr:uid="{B95E7CDC-FE13-4361-A66B-8A251CF49FBB}">
      <formula1>1</formula1>
      <formula2>4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9" xr:uid="{ACBE1949-C954-42FB-8F46-01EB879E4F8D}">
      <formula1>1</formula1>
      <formula2>25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9" xr:uid="{D9313093-53BE-4B4F-9E3C-2CC5564F7D6B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9" xr:uid="{B01E3057-84D3-47BE-BAA7-9CB67155B98B}">
      <formula1>0</formula1>
      <formula2>999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9" xr:uid="{F9B14DEF-7F6C-49FC-B27D-DBC2393A2E81}">
      <formula1>0</formula1>
      <formula2>1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9" xr:uid="{5DA26412-52B4-4A1D-876E-095A1142553A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9" xr:uid="{D96B6773-0FC1-4B92-B8DA-F2A5D5B14CAA}">
      <formula1>0</formula1>
      <formula2>99</formula2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9" xr:uid="{880B945A-CD54-400A-B078-79BFEE09F624}">
      <formula1>JaNein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9" xr:uid="{C8A14007-9310-40BB-B5CF-09D3F85E4177}">
      <formula1>ListSoSchu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9" xr:uid="{7EB78DEA-F071-42F7-A033-EE1A3B38CF32}">
      <formula1>ListSoControl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9" xr:uid="{13730034-C662-4854-8177-7A71FE8952C5}">
      <formula1>ListHorizont</formula1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5" xr:uid="{C8212F8F-5CD4-4114-8265-6C4BFFFDE333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6" xr:uid="{B80C9495-AAB3-4579-92DD-9033562D2B13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7" xr:uid="{4A17F8B7-F478-4C4E-B969-88731B367E7A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8" xr:uid="{9896D499-001F-4BD6-84B5-967D56F3CA6E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9" xr:uid="{3CD34FB6-29AC-4813-8772-E9A329698E6B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10" xr:uid="{7CACD0E5-426B-45FD-8315-E438028A41ED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11" xr:uid="{47E5BAC6-D672-48F9-B237-18330FA78955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12" xr:uid="{1654572B-5103-4218-92E6-E40A5CE0935C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13" xr:uid="{2CD228F3-928E-4064-8FC9-806A7B9242F3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14" xr:uid="{0DDA7574-9818-4452-A57A-70924BE9B962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15" xr:uid="{1E3481D4-93AF-413B-8500-62F5EBCF6782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16" xr:uid="{60B09564-630C-4587-A597-572638243296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17" xr:uid="{AB5F5636-AED9-4409-918F-AEB51A2C2324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18" xr:uid="{35EC2D4A-56A4-4CB1-B004-DEC939B883E7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19" xr:uid="{ABA8DE8D-ADD8-482A-BA25-39EA65FBF5E5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20" xr:uid="{D0F4862B-0FED-400E-BDF7-865799AE3FC5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21" xr:uid="{2F9BD04A-B723-494E-B9CD-4D5C33BDF43C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22" xr:uid="{ED1D50FD-24FD-4CFB-8830-658B959EF33E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23" xr:uid="{7CDDC5FD-D6E0-4392-95CB-EBCCB2771A21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24" xr:uid="{F826E9AE-1054-4B7B-9500-144F7CC6A68A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25" xr:uid="{B7C2BA2D-F95D-49BC-9B8C-20C87284F6D4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26" xr:uid="{2BD11189-C1CD-4E20-9C82-33E4108BF123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27" xr:uid="{7E6C677F-AFCE-44A8-A65E-8E0DC547E937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28" xr:uid="{84434B07-DB5E-469E-A26E-47C15852B7F2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29" xr:uid="{AD223091-BE7E-4D06-847F-B588A0D5E18E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30" xr:uid="{D9CAE787-F158-476E-A797-CD4193C83821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31" xr:uid="{9FBA444C-7937-474B-A91B-2755244FEDB6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32" xr:uid="{0AFC58B7-2200-4736-B032-830785796F38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33" xr:uid="{7B9E88E1-1ADB-45DA-BEA6-C6450FD81BE9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34" xr:uid="{D55E9EBF-E9AA-41E6-933F-00DEA4B4482A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35" xr:uid="{6B17F3EB-E068-4D65-84E0-193A762A6FE0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36" xr:uid="{06CBE51D-A093-4963-8EE4-020FAE621B34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37" xr:uid="{C6C29179-779F-4735-9ED4-4C1C7802E1C4}">
      <formula1>1</formula1>
      <formula2>4</formula2>
    </dataValidation>
    <dataValidation type="textLength" allowBlank="1" showInputMessage="1" showErrorMessage="1" errorTitle="Erreur" error="Vous pouvez saisir 4 caractères au maximum." promptTitle="Sigle" prompt="Saisie d'une désignation courte (max. 4 caractères)." sqref="B38" xr:uid="{88570003-A079-418F-B88C-50890D89226F}">
      <formula1>1</formula1>
      <formula2>4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5" xr:uid="{4506E047-CCCD-42AA-BB9E-267407A538BB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6" xr:uid="{970179A3-3D18-4461-B84B-EE766CDB7F5A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7" xr:uid="{973A1275-844F-4EB5-8D98-B64DAB5DDE1D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8" xr:uid="{387A372A-8235-48D7-90E6-F0B3F518FFB8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9" xr:uid="{DD47CB9B-A032-4930-92E9-45203984FCF1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0" xr:uid="{46AB986B-9CAC-45D0-A0CB-78250F8F881D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1" xr:uid="{91DF8A91-B1CA-4BA3-8991-ED5EC791E6FB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2" xr:uid="{4BCB6CF9-AF61-4CC9-B24F-E7867553BD60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3" xr:uid="{50D7B6CA-6A67-45CF-ADC0-051EA622815E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4" xr:uid="{C96482ED-588D-4C7E-8F7F-F7F8FE012ABF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5" xr:uid="{D6E67C52-EE62-4802-AE25-CB06BBA8CF8C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6" xr:uid="{2D0C255A-5CBE-415E-A5B8-B774E4DA1F02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7" xr:uid="{C760D71E-6F02-46A7-8EC1-2ECB4E3CB266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8" xr:uid="{9D5C829C-BA2C-40B9-A62A-C5E1FDADADD9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19" xr:uid="{D026DC5A-DA07-48F6-A6C3-553B46A74D52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0" xr:uid="{0029DBBA-95A0-43A8-97FB-B7151B89B214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1" xr:uid="{336A8237-1C48-485E-9B81-09DF97E6F3E6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2" xr:uid="{713F2944-26CA-48B5-8DC5-C8896C0ABA61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3" xr:uid="{D7D1271E-8457-45B4-AA92-5DBC229CA4A6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4" xr:uid="{C8F03EB7-4AE7-4F74-8DB9-3B601E2AB94D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5" xr:uid="{F3DEFBF8-CFEC-4C16-9AD0-5C27E71AFBF9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6" xr:uid="{6DC31A53-A040-4356-B21A-A02B2A20A496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7" xr:uid="{7C2CC316-89CE-4826-B52B-4FB463570C85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8" xr:uid="{E60D0EE7-F76C-43FD-97B0-572B15374501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29" xr:uid="{AE15F3F6-87C0-4B12-B427-347302FAA5A5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0" xr:uid="{5EA72DB8-3C7E-4B02-95C3-A1A8DA825156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1" xr:uid="{6D6BFF99-734C-47AF-9D32-FA00D32809D4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2" xr:uid="{D75E56EF-587A-4CBE-B5AC-E4299C45006F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3" xr:uid="{4E8EB0F3-361A-4709-B333-26A8AF5B1791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4" xr:uid="{207864B8-FC6B-4DBF-A558-343340712D43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5" xr:uid="{0BD37D40-44CB-4ECC-8A5E-B78C191EF3FF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6" xr:uid="{3A9B3640-5B4A-45B6-B94C-425BAB911366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7" xr:uid="{55F4E5D7-63A6-4982-817F-3034300AD97C}">
      <formula1>1</formula1>
      <formula2>25</formula2>
    </dataValidation>
    <dataValidation type="textLength" allowBlank="1" showInputMessage="1" showErrorMessage="1" errorTitle="Erreur" error="Vous ne pouvez saisir que 25 caractères au maximum." promptTitle="Désignation" prompt="Veuillez saisir un nom pour la fenêtre" sqref="C38" xr:uid="{F506913D-62AE-4D3F-A9E9-61D149E6828A}">
      <formula1>1</formula1>
      <formula2>25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5" xr:uid="{EFF12358-7A79-4EB4-8969-EB3C3BA29539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6" xr:uid="{3C5503D2-68E9-46DA-BF17-403E71500F23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7" xr:uid="{4D1AE050-5247-4827-A0D5-00AC4E4586A6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8" xr:uid="{4A2F86A1-5C5B-4788-8890-261EEA7EDB2A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9" xr:uid="{617B2BD3-E425-4E2F-A981-87A3B61D4349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0" xr:uid="{9D25006B-E702-4E20-B566-688E7DEDE444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1" xr:uid="{D481653B-0530-4D72-8ADB-CF88F8B6F39D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2" xr:uid="{72DA72D6-19FA-484C-A033-29F4B20FAF30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3" xr:uid="{CFAC4DD2-2BAB-4304-A07F-FDFCD4260CBA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4" xr:uid="{A4EDF90C-6E33-460D-A694-7773D429C112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5" xr:uid="{235921BC-6219-4749-BB0B-613536F2E401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6" xr:uid="{13D7763E-19BB-4DCE-B1DA-7401B825BF40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7" xr:uid="{BA39DC9F-593F-45BD-96E4-B691A09B62BC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8" xr:uid="{25AED7AA-73BA-4938-BDCA-77869BD7CC66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19" xr:uid="{99C07661-D15E-4369-B689-FB6B82756089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0" xr:uid="{F93E403C-1CBD-4416-8C7A-D92F19D39F06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1" xr:uid="{1DFA12DD-D1E6-485F-B16B-CC60B5A4C0C5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2" xr:uid="{F65D1AE2-10E7-477E-B5AE-B182888917D8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3" xr:uid="{826BDB74-4033-422C-B400-513E17567F70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4" xr:uid="{7F762344-CD61-441F-9A58-9D91D0077C3A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5" xr:uid="{6BDE30F6-021E-4FA0-8CF9-630A16F226BD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6" xr:uid="{B1ACB47F-F4CC-45E5-AF6B-94014093B9ED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7" xr:uid="{3D71212F-02D8-43AF-8A67-E2BD2A398F45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8" xr:uid="{7C63BD55-74AB-4669-8E52-C9BF730CCED6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29" xr:uid="{2429FF11-DEF2-4BB6-89C8-7B7BC851B8F0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0" xr:uid="{5535D75C-A38D-43A6-A873-B10781D2E02C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1" xr:uid="{38137B48-E7A0-4C87-B1F3-520657CFD8EF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2" xr:uid="{79FADE67-D4E6-42EA-9FA4-53E01D97450C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3" xr:uid="{2C70C473-E0DA-4F00-B4D0-57FE75B0E44D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4" xr:uid="{6EA0ADA9-74A6-47CB-978C-8AA84F45323E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5" xr:uid="{36E7309F-C526-4DAD-82A9-F7C43ABA234A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6" xr:uid="{C07DE692-CD4D-48F0-87AE-6D1807AE8A57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7" xr:uid="{56E9C7D5-3F34-4AEB-95F1-77D887516416}">
      <formula1>0</formula1>
      <formula2>999</formula2>
    </dataValidation>
    <dataValidation type="decimal" allowBlank="1" showInputMessage="1" showErrorMessage="1" errorTitle="Erreur" error="Vous devez saisir des valeurs entre 0 et 999." promptTitle="Largeur" prompt="Entrez la largeur de la fenêtre (vide de maçonnerie)." sqref="D38" xr:uid="{D157F514-7018-469D-B985-65E62EB9BA78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5" xr:uid="{E319DFA6-4FEC-4A1C-8B93-9A90776FBF08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6" xr:uid="{1A05E9D8-DCFE-4C87-BE4F-F5C63981D4F4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7" xr:uid="{A0F5C03A-E1FE-440C-93E4-7CE01A80A0CB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8" xr:uid="{100231CE-B420-4AF6-BE9D-1F781CD4E94A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9" xr:uid="{A742FC1A-618D-4836-943D-31BF6D3288FE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0" xr:uid="{3D8F0E72-9382-4A85-9DA2-6DDD3C4475C1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1" xr:uid="{F7825894-2C46-4A67-B09E-6043CE737794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2" xr:uid="{B0CEAC11-2EF1-4A1D-994B-8FAD612DCE1B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3" xr:uid="{7D8E087F-5561-49C6-A020-C92E168BE397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4" xr:uid="{C9B184E3-D486-4672-931D-32959C661A50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5" xr:uid="{9FBB7CFA-4485-4BDC-A628-3AEEDB077676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6" xr:uid="{026234EC-7560-4D3A-973D-189C956ACA6B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7" xr:uid="{D195F1C0-971C-494E-A6CA-2D0689BD768F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8" xr:uid="{9C99D4C4-0C07-457F-ADF1-36483F2BF1F1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19" xr:uid="{B5D870F6-C68B-40BC-AD85-80DCEB4D31B4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0" xr:uid="{9858855D-FC47-4646-BBAF-CEFB71042217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1" xr:uid="{8278A40C-1A87-4565-9BC8-00818DE6F1CF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2" xr:uid="{42680608-605A-4CC8-841D-0C29DC527B3D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3" xr:uid="{71A888C9-FC47-477B-8214-F44D29ADE86C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4" xr:uid="{4B424D26-1A8C-4384-BFE1-8E6688B70246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5" xr:uid="{C52B4DF3-C82B-4493-BC4F-BACF3B969F5E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6" xr:uid="{545A27C8-7397-4124-95F6-42C3FD948A05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7" xr:uid="{6BAF2FD1-AD57-4005-AE45-C70DFA602CA5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8" xr:uid="{C1629736-278D-4C02-AC26-C184E10EA230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29" xr:uid="{C2C9BA97-9709-4049-989A-6C9496EA4804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0" xr:uid="{F58CD72A-440C-461F-8FBB-A82935633ABA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1" xr:uid="{71675FED-36F9-455A-BDF3-50DE71B76E14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2" xr:uid="{784EA4B1-2158-41CF-8CD3-7B358E63934A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3" xr:uid="{59AA6F85-0AEB-4EC8-88F4-52881CE96295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4" xr:uid="{66348770-794F-467E-99B1-1A1F32368BD7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5" xr:uid="{CE554C9C-F803-44A6-A16E-28A2CEC6ABC5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6" xr:uid="{8A383097-D528-4616-A0AD-6A17EF17B844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7" xr:uid="{0A796958-40C0-45A7-98B2-723BCB2432EF}">
      <formula1>0</formula1>
      <formula2>999</formula2>
    </dataValidation>
    <dataValidation type="decimal" allowBlank="1" showInputMessage="1" showErrorMessage="1" errorTitle="Erreur" error="Vous devez saisir des valeurs entre 0 et 999." promptTitle="Hauteur" prompt="Entrez la hauteur de la fenêtre (vide de maçonnerie)." sqref="E38" xr:uid="{C1927415-BBB9-4C0E-B614-EDA02204277A}">
      <formula1>0</formula1>
      <formula2>999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5" xr:uid="{4C4FB4AB-CBCE-4F21-A6A9-15AF62D8AC07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6" xr:uid="{4B0F4B3B-D574-49AA-95E8-D965164116F1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7" xr:uid="{4B231BB2-0156-464B-93C9-186B546DC68A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8" xr:uid="{FE3BF3E8-2892-4CAB-9333-F06689A6BCCD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9" xr:uid="{76F451EC-C033-4496-8E42-805085F029C9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0" xr:uid="{2817C448-7DA2-484F-A57E-F96CFEA6A921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1" xr:uid="{3FE886A7-44AF-4442-AFC4-E0EEE109C2EB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2" xr:uid="{5710DFBE-980D-4C26-87DD-78A2EF5CEB90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3" xr:uid="{10D2478D-6157-4574-A865-A956603E4D9B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4" xr:uid="{02ABEB39-1971-40F8-AE86-9E0DEA788B56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5" xr:uid="{BD0EABD9-0794-4086-B5E3-4DFB0FCE418D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6" xr:uid="{ED8895F8-F2DE-4CEB-9F28-4075AD8EE4D7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7" xr:uid="{1E8D55A0-A0DB-44D2-9D09-C026FDE56A2A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8" xr:uid="{733EA3FA-65C2-456C-917C-641C465F4A6F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19" xr:uid="{7382A175-06AF-4F3B-A3D4-BC498B5EE953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0" xr:uid="{A9878C78-B580-49A3-BFD6-170557D24CBB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1" xr:uid="{975E96BC-FB87-452D-B65E-93B67403ABFE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2" xr:uid="{984338DD-C45C-4DA5-9AAE-1DB4166594CE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3" xr:uid="{CCA8A5DD-BE43-4691-9BED-F79889922AAC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4" xr:uid="{6050A58A-3C07-4395-9D63-93B227604897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5" xr:uid="{04068B71-1644-4845-BD42-BFA47CE3E652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6" xr:uid="{D3BBBB16-48A2-4202-BE1A-FA1F67ECF01B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7" xr:uid="{42AB68B0-154A-4F15-8141-3AA9ABCC2808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8" xr:uid="{34A41A58-DD4E-42C0-8552-648D94775493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29" xr:uid="{2E804C22-951E-4087-872E-3150D006ACD9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0" xr:uid="{AA38211C-858F-45E3-B760-51BDE6F7E736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1" xr:uid="{4986C982-B3BB-42CD-8114-9DBA3627016C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2" xr:uid="{0EDC52F6-9EE9-4627-B655-8DF9C2B5F617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3" xr:uid="{4B911D3F-2739-4867-BD1E-A143A7855DEC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4" xr:uid="{95C3CBA7-CB4E-4748-B80C-EE7F0BB2DC48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5" xr:uid="{1689A91A-7589-4D2D-B68B-9214E02AFF2E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6" xr:uid="{3523415E-56EE-46B6-A1F5-190F6D76E05D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7" xr:uid="{E7F8DFE0-9B18-4F32-AE3E-CA7C59056708}">
      <formula1>0</formula1>
      <formula2>1</formula2>
    </dataValidation>
    <dataValidation type="decimal" allowBlank="1" showInputMessage="1" showErrorMessage="1" errorTitle="Erreur" error="Vous devez saisir des valeurs entre 0% et 100%." promptTitle="Pourcentage de surface vitrée" prompt="Entrez le pourcentage de surface vitrée." sqref="F38" xr:uid="{9D1099C6-BCC0-4D94-9AE9-F7626C0A6544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5" xr:uid="{34368241-4FAC-418E-8A85-24C736AEB77F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6" xr:uid="{CDF5A33E-0A84-4510-9D4E-5EB9F0B75FB8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7" xr:uid="{0A7C2B2D-8A92-4EDF-9444-64CC10EA7D06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8" xr:uid="{DDF971EA-B6C8-4FA5-8BAE-192EC53E6F0D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9" xr:uid="{D2A2298B-B87E-4351-9689-7A9F9A264029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0" xr:uid="{F924D1EE-53D1-488E-9A95-ED9C05F6C506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1" xr:uid="{CD2BC85C-F75F-4E46-B784-BA37488ED467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2" xr:uid="{E3732F34-765F-4C59-92A8-5544EF9D1D0E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3" xr:uid="{C5C5241C-2BEC-4F88-B573-20C5367C423F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4" xr:uid="{D4DCB447-4890-46D9-BED9-09F586FD87C9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5" xr:uid="{A82BAE77-9B24-4B85-ABC5-400F000FF2DC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6" xr:uid="{E1078515-4B7A-458A-93EF-E6F5B8D35901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7" xr:uid="{F1425D16-BD88-4F14-A81E-1181D154FAD0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8" xr:uid="{8707341D-39CF-46C6-BFA0-0B50C3AAC1E8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19" xr:uid="{B3375F8B-8756-453A-95D0-43334906350D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0" xr:uid="{EA491AD0-907C-4257-9443-E649BA1A8C59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1" xr:uid="{12C05479-45D6-4353-BC29-4B7DFAA6589B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2" xr:uid="{7A13D4EC-D74F-4E20-ABCF-315A88307D97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3" xr:uid="{94B12CDD-9049-4F92-A6AC-4FF5122B08AC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4" xr:uid="{86074FAB-0ED7-4F43-8F7F-17DCA8B15444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5" xr:uid="{6B5EE658-D530-4E4F-AA44-852CCCBC2E98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6" xr:uid="{E24CB961-FC2A-4B2C-99AC-F1558BAFB9E5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7" xr:uid="{3D57E746-05A5-4995-8478-F05D3B1AD0A9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8" xr:uid="{4BB506EF-AE76-41E8-A563-8597AF952B78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29" xr:uid="{0830C289-578F-4C96-9CF7-5AC06B6DE52A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0" xr:uid="{229B24EF-1F46-423D-8704-B2BAFAFD9795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1" xr:uid="{78A13F40-7DE3-41DC-84C6-775C9719112C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2" xr:uid="{2BD94530-4414-4E59-ABF2-5B09A37EB37B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3" xr:uid="{426C5B5A-926B-4F3D-A29D-C2E06AD270FE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4" xr:uid="{32280330-B328-4F05-9147-595E98938801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5" xr:uid="{96177727-30FA-4F61-B0E2-524B52C1B685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6" xr:uid="{013FBA41-6E02-45F3-9A32-BCD77AD244A9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7" xr:uid="{788AE9A2-048F-4396-B757-7273D881BF98}">
      <formula1>0</formula1>
      <formula2>1</formula2>
    </dataValidation>
    <dataValidation type="decimal" allowBlank="1" showInputMessage="1" showErrorMessage="1" errorTitle="Erreur" error="Vous devez saisir des valeurs entre 0% et 100%." promptTitle="Tau" prompt="Entrez la valeur de transmission lumineuse de la vitre. _x000a_Attention: dans le cas d'un autre vitrage disposé devant la fenêtre (fenêtres à caisson, double façades, etc.), la valeur Tau sera a multiplier en conséquence. " sqref="G38" xr:uid="{BF5E19DD-156D-4346-9F92-ED61CB4CA082}">
      <formula1>0</formula1>
      <formula2>1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5" xr:uid="{03BF63BB-BC09-4416-9D62-25700B0E89B1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6" xr:uid="{78C3589F-EA5D-4F6D-88A6-CF44A857E088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7" xr:uid="{9AAD1AA0-8022-4D83-94BC-C49D2B516FB9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8" xr:uid="{4FB9B053-6E04-428A-B1E2-35558E709EE8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9" xr:uid="{DB3587C8-E52F-425C-9AEC-A7FAB7D15FB6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0" xr:uid="{CEEC9440-160B-4976-8CF4-C41B97819F92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1" xr:uid="{764871C4-6999-4D26-975C-2A0BC20DEBEC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2" xr:uid="{4B5D3183-7876-410C-B97E-52521F69E3A2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3" xr:uid="{E908E58A-9BE1-4E09-A413-DE3BAE8EE007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4" xr:uid="{1C2BC07D-3A89-4A03-8369-1BF7E399F2AC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5" xr:uid="{CA01C2FB-4A6A-40DA-9773-9604906B8815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6" xr:uid="{80B72D13-F303-49EF-AB0C-B16A073C7700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7" xr:uid="{2253C1BC-C75D-4A05-8449-85D02DBA5A29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8" xr:uid="{AECF4D9F-E786-467C-9C43-DABB3A266CDD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19" xr:uid="{98C6E3BB-FAAD-4CBC-BF01-F9942948EEF9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0" xr:uid="{F87B4981-EB1C-433A-89A9-77C82C520462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1" xr:uid="{D1BE7339-0F39-4B9F-B868-84037DA6D35F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2" xr:uid="{7D10B743-1197-4F23-8404-202B615EE8A8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3" xr:uid="{BDB49D6C-4CE9-4C2F-B289-329F7D49EABA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4" xr:uid="{CC09DFDB-2C0C-41DB-871C-CD5D1525D0BE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5" xr:uid="{488D524C-035C-4F9E-870C-44DCA1BC7BE5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6" xr:uid="{C3FD6D3E-8ABB-4D54-8F22-40ADAD6CF970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7" xr:uid="{14216E3F-7899-4E2C-BEFC-F8D4C131A384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8" xr:uid="{43089647-DE14-485E-A56F-9E26F4C2C90C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29" xr:uid="{23D4D50C-E2AD-4C72-A1B4-8C49C297B93C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0" xr:uid="{768A31A5-17CC-4F75-848F-8D4F10193319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1" xr:uid="{8D4D9A73-2252-4CD4-8B4D-2B3DDFD75417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2" xr:uid="{5C5C46B7-148A-448A-AAEC-881F254F868E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3" xr:uid="{EBAAC915-00A4-4DA1-BE93-C902F0EEFDA0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4" xr:uid="{E6AE3D77-3229-423B-8BE3-85D7D009691D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5" xr:uid="{A6107DB2-D4B7-4233-BB92-B73C51800ADF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6" xr:uid="{EB619F09-9F2D-4A33-A49E-D313B86D8CD2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7" xr:uid="{31C69DD0-649A-42EC-B82B-D7CB3B25004F}">
      <formula1>0</formula1>
      <formula2>99</formula2>
    </dataValidation>
    <dataValidation type="decimal" allowBlank="1" showInputMessage="1" showErrorMessage="1" errorTitle="Erreur" error="Vous devez saisir des valeurs entre 0 et 99." promptTitle="Linteau" prompt="Entrez la distance entre le plafond et le vitrage." sqref="H38" xr:uid="{9001F160-701B-44D2-A9F2-BBAAE4C8936B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5" xr:uid="{7C8290D0-4588-4929-AFFF-BEE35B6A02E8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6" xr:uid="{BD1651F7-8272-4A58-A002-8BE03DFECA24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7" xr:uid="{98044294-D881-4BD7-BFF4-DD57EC5262BF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8" xr:uid="{73E79153-625E-402F-A9D8-D82D2A2D5BC8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9" xr:uid="{A2A49CFB-BEB3-44F5-AC4D-E43AED036D39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0" xr:uid="{D9AF22A3-3888-4FF4-BA8C-FE6F6F132BE0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1" xr:uid="{B12C434C-0932-4D46-B211-0EF3B153D159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2" xr:uid="{D67A5B9D-CC77-4FB8-A2EA-A532CF5CE442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3" xr:uid="{6AE58CDE-4B48-41FE-A2DD-4426D2741C7B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4" xr:uid="{1C895364-575A-4EAD-A118-0EB6B4802515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5" xr:uid="{44B8BCC5-8AC4-4DB4-8A41-F23001D9B342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6" xr:uid="{6AF81FBC-6F6A-433B-B187-39C938948C9E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7" xr:uid="{C70874C5-0E0C-4442-9837-9DBCD640F90C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8" xr:uid="{04492CED-5117-4343-939A-30AC087E3C8A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19" xr:uid="{CC560411-9A8B-48B0-B41D-5E403B5B6C67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0" xr:uid="{7AEA6D6A-003A-4834-A50C-1D25E2EB77CB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1" xr:uid="{659ED56A-2C69-4EE7-BD79-2ADFCD9E0F4C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2" xr:uid="{C5523874-9F99-450E-B17F-7DE6C1716DCA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3" xr:uid="{0803839F-C98D-4861-893F-C6FDB027C7EF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4" xr:uid="{6BEC7AA5-EAC8-4CED-80DB-4CA8D4754D8C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5" xr:uid="{5C5EDD59-2420-453F-9734-D8563C8F1CBE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6" xr:uid="{03DF5330-8FB3-40C8-99C8-BB1585D8192B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7" xr:uid="{4AD30F43-0C1F-434E-8BB0-E1EF06EBA4AD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8" xr:uid="{37AED779-FEA9-4473-AD15-64F3A13F7609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29" xr:uid="{1FC8EFCD-BC8B-48C5-A80B-4B67F5728BD2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0" xr:uid="{0A84E959-C649-4291-AFAB-D232864FBDA9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1" xr:uid="{ACCE4C4B-9E64-4676-B6E7-55D077CA70E0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2" xr:uid="{C4E7F615-AC90-43AF-8691-7AFFA3952E23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3" xr:uid="{5E9CCA7A-81BD-4C17-B465-0D99DBC76456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4" xr:uid="{F1C01A63-DAAC-4007-8E2F-B0CD2524F23D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5" xr:uid="{58AF7DF4-EBD1-40DD-B5ED-F8BB755FD782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6" xr:uid="{A956B6CA-E44B-4197-B87B-EC5CFFABF7CA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7" xr:uid="{1B41808D-B9A7-4439-8861-9726C123C40D}">
      <formula1>0</formula1>
      <formula2>99</formula2>
    </dataValidation>
    <dataValidation type="decimal" allowBlank="1" showInputMessage="1" showErrorMessage="1" errorTitle="Erreur" error="Vous devez saisir des valeurs entre 0 et 99." promptTitle="Porte-à-faux" prompt="Entrez la distance horizontale entre la fenêtre et le bord avant du porte-à-faux." sqref="I38" xr:uid="{BD4BA4D2-AB75-4DF8-AC44-DC9D6F8AFCE5}">
      <formula1>0</formula1>
      <formula2>99</formula2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5" xr:uid="{7454D109-5154-41A8-93D3-261F3DA0185B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6" xr:uid="{9C91C753-FE11-4944-83DD-F3EB708F439B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7" xr:uid="{B4F14415-9503-4E82-9B0C-EB8FEE38B877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8" xr:uid="{83F56A53-E503-4C3B-B0B3-42EF11021F57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9" xr:uid="{9FAA2413-8BB5-4955-8735-29F76A2B886E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0" xr:uid="{0D7C6E44-FB33-439C-845A-9B737A4797C1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1" xr:uid="{B43D94D3-6BC1-4D2F-A2DE-BA9EDD8521C2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2" xr:uid="{AE408CE9-1848-4415-89E3-4F97169F326B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3" xr:uid="{FFE2095B-6B7B-4028-97AF-972E5ABC163C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4" xr:uid="{B51A6891-25A1-452B-A3B7-328A12635E57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5" xr:uid="{70E3E9B5-F97C-41CE-A456-BD56247734A3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6" xr:uid="{1820ED19-2F3D-4502-BCF6-085BA281CB2A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7" xr:uid="{E7FF6691-0A3A-4C84-93BF-18E88C0BA245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8" xr:uid="{647DA221-5C11-4F1A-B29D-62C63EB0C77F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19" xr:uid="{3130D1AE-3708-4CFB-815D-86B4C63C7C5B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0" xr:uid="{F9046FD5-9E92-4F33-8E6E-B53AF43AFDE9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1" xr:uid="{34129563-961D-4330-9B80-905C76733309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2" xr:uid="{8A001EFA-0AB4-4502-B683-669A8CA77226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3" xr:uid="{8C32173D-62B7-47EE-BEC6-C6D1E0D92CFD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4" xr:uid="{D5246CC8-969A-4707-8D06-2DBC26D7F42D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5" xr:uid="{F185F5F7-21E2-4BA0-AF4A-1E6F685D786B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6" xr:uid="{68BB119F-4888-4A6A-84A5-E7E31B4350FE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7" xr:uid="{6B1C3418-9950-459E-8131-D1F14848AF61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8" xr:uid="{B3AC817A-E516-48AC-ADEF-31DCE252DC0F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29" xr:uid="{8F2964FE-4B78-4DB7-B2C1-923B2B85B05B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0" xr:uid="{2DEEE1A7-2376-4B01-9B19-FCE127C9C174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1" xr:uid="{9CC24CDF-B4E6-4F7F-896C-48278591AAC1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2" xr:uid="{BB5DC676-E025-499F-AE8C-E277B9716594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3" xr:uid="{FB60A907-37E9-401E-A2E4-151A325D0FAC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4" xr:uid="{6430E239-9C05-4E17-BFA3-292525DBFC68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5" xr:uid="{F2BDC5DD-1DAF-44A2-ACC9-8AD732960FC8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6" xr:uid="{3264C821-6E56-4449-9A2F-61577FE2C9AC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7" xr:uid="{3BE788A6-011B-48D4-96A8-242662780258}">
      <formula1>JaNein</formula1>
    </dataValidation>
    <dataValidation type="list" allowBlank="1" showInputMessage="1" showErrorMessage="1" errorTitle="Erreur" error="Vous devez sélectionner un élément de la liste." promptTitle="Lumière zenithale" prompt="Sélectionnez 'Oui' si la fenêtre est placée au plafond (angle de 0° à 45° par rapport à l'horizontale)" sqref="J38" xr:uid="{EBA5E417-24C2-479C-B9BA-455D8F27E2BF}">
      <formula1>JaNein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5" xr:uid="{1A1BCDC6-79AA-41CE-B797-C50C53B300AE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6" xr:uid="{8A3FA16E-642D-44BE-BCBE-10077FF7C346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7" xr:uid="{6ED21F88-1275-491A-83C5-AE8B051E3EE7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8" xr:uid="{A6EFF8D2-0369-4A0A-80B1-BADF1069C5E2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9" xr:uid="{C23D0F28-1DC2-4F3B-9AB9-7C9078FD16C3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0" xr:uid="{5E6E9287-89F1-404F-931D-E57A700EC09A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1" xr:uid="{8763F578-AC84-4529-8870-D11EEE596A78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2" xr:uid="{2B882086-74DD-4B77-AD45-1C28C905D2A9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3" xr:uid="{DA002660-3B4C-4D0A-8C7F-D52E7BD073C9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4" xr:uid="{C4AD3113-21CB-4F74-B29F-4E854588A4DC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5" xr:uid="{46D8A4ED-F626-4E06-B636-916525B9A804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6" xr:uid="{8EBD25DE-2B94-4DAF-872E-B529DCC7D3DB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7" xr:uid="{2E2881C0-1A4D-4B71-B708-2162B0D42C9F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8" xr:uid="{2A2DE84A-2B4A-482E-895D-FECFF23DBAE1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19" xr:uid="{89BD2B8C-D43C-4023-97D6-CABF8DF43736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0" xr:uid="{63197103-F079-47BF-BB4D-13C6AC6179E3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1" xr:uid="{3DC250E2-0F08-4ACD-AAB7-FC5F79732174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2" xr:uid="{8EE3034B-6D7A-4392-BA25-A46A63748214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3" xr:uid="{FB407775-E50F-4DBC-BBF7-7A3D3D036786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4" xr:uid="{33E9AF3C-92C0-4613-A1B5-4A691A7F7D5E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5" xr:uid="{C1603AE9-CF62-40C9-A97A-D84BDDE999EE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6" xr:uid="{0438D669-1827-4E7B-A672-0689D340689E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7" xr:uid="{FCF48A2A-BF47-445B-8C8C-F0E9C2130842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8" xr:uid="{9F945318-FE93-47A6-BAB0-474302F81332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29" xr:uid="{2D01F346-397F-4211-9B37-75C25A8C6B8F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0" xr:uid="{1828EDC5-615F-4137-BD6E-5DF3A69A2B6E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1" xr:uid="{11970C76-F60F-47E0-BDFD-2A4885B8A1C7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2" xr:uid="{6209DD46-6DD6-4915-862E-404FE6AC221C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3" xr:uid="{8A4BC73F-B8E6-404D-BF83-0E4890C2BC4C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4" xr:uid="{8DF8C766-EC88-44D6-B4EB-1B1D50AA5D74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5" xr:uid="{CD6D6513-AEF3-47EB-B492-0D14D1C053BD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6" xr:uid="{D319B523-A325-4E42-8C2D-D09D0B996580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7" xr:uid="{74610B5F-8AE5-44B7-A07A-303A26F86BDB}">
      <formula1>ListSoSchu</formula1>
    </dataValidation>
    <dataValidation type="list" allowBlank="1" showInputMessage="1" showErrorMessage="1" errorTitle="Erreur" error="Vous devez sélectionner un élément de la liste." promptTitle="Type de protection solaire" prompt="Sélectionnez le type de protection solaire qui correspond le mieux dans la liste." sqref="K38" xr:uid="{7720F070-D9CC-463E-A9AD-FD7492136979}">
      <formula1>ListSoSchu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5" xr:uid="{46E869D0-9EC8-4516-B840-7720A5FB8011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6" xr:uid="{C4DF92DF-CE59-41EE-BDF6-BFEF14251702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7" xr:uid="{0C90DA5F-8C3F-4F20-8E84-ABDC7AC92602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8" xr:uid="{6BA7899D-C120-4B15-A139-B78D2A163958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9" xr:uid="{CE317DBF-ED01-4A47-BCC8-450E38129305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0" xr:uid="{580987AA-EF24-43D0-8A11-F5A63FA66087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1" xr:uid="{8AF40F10-C24F-417D-AB30-62ABFBCF3F11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2" xr:uid="{97ACA6CF-8194-431C-BBB5-38B4909BC379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3" xr:uid="{00D81A5D-2717-417E-B26D-74BB84AD54E6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4" xr:uid="{462B52E0-5EC3-4064-B8D1-FA867841EDE2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5" xr:uid="{D112246D-7600-468E-A5C3-27028BD7A9F5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6" xr:uid="{D05058D3-E2B6-406A-9D2A-279BA3F5CC97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7" xr:uid="{8A73E383-9B33-48E7-967D-D84AEEA99C39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8" xr:uid="{37A09503-15E1-4523-9429-528137549A5A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19" xr:uid="{7D2DC991-7A91-4529-8ABC-90EC274E06DA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0" xr:uid="{BC2B9222-1DE5-4467-8C02-930BFB010A2D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1" xr:uid="{74D6E2DA-E498-4003-8A92-942009CCDF22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2" xr:uid="{5E4394A8-4940-443B-B29B-738A248026A7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3" xr:uid="{954DDA00-7C70-4E82-876F-0AE0B3EE7757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4" xr:uid="{4D168C27-4F1B-4D15-ACA4-60CBA730BF6D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5" xr:uid="{1E6D332C-9AC5-4732-939E-6E0C420D8B48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6" xr:uid="{DED22777-22ED-4D5B-8AC8-A85A737DAF66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7" xr:uid="{90D08340-62ED-4E7C-94BB-C807236B00B5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8" xr:uid="{442255C3-330F-49AA-8833-5F21CB70E02A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29" xr:uid="{EB90D9B8-F805-4206-8DA5-8AC643B681E7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0" xr:uid="{D5F78AB0-F21E-41FE-B70A-51CBB75C1587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1" xr:uid="{208D8E45-941D-4ABE-8695-06261E0A5D39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2" xr:uid="{FC6F891E-A4D5-4AB3-BB37-E2B8AEFF1CB3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3" xr:uid="{17E1C516-804A-4CC4-80FE-44EF5B203843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4" xr:uid="{42373714-1379-4367-92C1-522A89AD38A9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5" xr:uid="{8999E0BC-996A-44F6-87D1-C30441FAE59D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6" xr:uid="{13D4F559-E62B-4AE8-80ED-CF072314600C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7" xr:uid="{D7DA2C0C-98D3-4953-801A-DCC431857502}">
      <formula1>ListSoControl</formula1>
    </dataValidation>
    <dataValidation type="list" allowBlank="1" showInputMessage="1" showErrorMessage="1" errorTitle="Erreur" error="Vous devez sélectionner un élément de la liste." promptTitle="Commande" prompt="Sélectionnez le type de commande qui correspond le mieux dans la liste." sqref="L38" xr:uid="{9D0234B0-EEE0-417C-A84E-30BCC0209BF7}">
      <formula1>ListSoControl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5" xr:uid="{D221A0AA-E6C7-4531-BE40-AC7C6F33B56D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6" xr:uid="{BCB32174-8B95-4DB4-92C6-52D2979BC36C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7" xr:uid="{3FA60F28-6B35-417E-AEE4-1F0A03E00925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8" xr:uid="{B2E7D42D-BBE0-49C5-9BCE-A831E064DA88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9" xr:uid="{2058B95E-B2CB-405E-AC93-423CA7C41E1F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0" xr:uid="{A1C40E5B-C189-456A-BCD2-57C6BE4B055D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1" xr:uid="{7EE4EBEB-5526-44B3-A1A1-04AAC93B9A34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2" xr:uid="{B1393BAA-F114-4C75-B14B-EE88E872D612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3" xr:uid="{C5B3B830-F99C-46DA-9754-14338173A0E7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4" xr:uid="{948AC49F-DB7F-45EE-9B46-B170C64960A9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5" xr:uid="{7FF34187-5472-4731-8892-8B684AA57AF2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6" xr:uid="{69ED97B6-DFD0-4FFC-BEA2-FC21C01D6F93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7" xr:uid="{F9F39FEF-05B3-4176-82F9-B62DEE3AEB6F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8" xr:uid="{59ECFF6A-F732-4E09-9B3D-981759BB1813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19" xr:uid="{A9F1BE62-0048-449C-BF50-8FFBC2CE9A11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0" xr:uid="{4D117BFB-16B6-4BB3-AAA6-C1044F7A0D08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1" xr:uid="{C8B79E44-ABE1-4C57-88BC-951D61A0702C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2" xr:uid="{A9C70F9A-D53C-460C-A18D-75819F990E21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3" xr:uid="{91414717-6835-45E7-A187-C0A2BEB79D33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4" xr:uid="{ACA81FD7-6FFF-46C6-A441-B52CB84D980D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5" xr:uid="{41BB41EA-5561-415D-AA88-CE8E260FCC4F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6" xr:uid="{9DC9C25E-9F62-4963-B35F-AD2A71346069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7" xr:uid="{D98AA822-CD06-4A75-B553-AF67A02357A7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8" xr:uid="{79CBF25D-DB82-4BD2-B485-FC9E4C47B673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29" xr:uid="{E4542623-19DB-4068-8A58-81BEDBA71832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0" xr:uid="{7AEB3E09-2B0B-46D4-8B72-B6B0A4EBBE8F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1" xr:uid="{E211D86C-B6B9-41EF-8FFE-D176CDF3981C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2" xr:uid="{6266D049-6D0C-4C02-A37D-3D36C3F4B5AF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3" xr:uid="{D1398C40-1EE2-4FA8-AA6D-A9F470D5F3DC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4" xr:uid="{6E8F624D-22C6-4857-8010-D72535ED3890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5" xr:uid="{A0AD69CC-8923-4DB6-A0AE-42D901858B73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6" xr:uid="{0E253CBA-6475-47D4-B6F9-F1C12BA65920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7" xr:uid="{C42B97F0-40C6-4B9D-94C3-9FADA5B017F8}">
      <formula1>ListHorizont</formula1>
    </dataValidation>
    <dataValidation type="list" allowBlank="1" showInputMessage="1" showErrorMessage="1" errorTitle="Erreur" error="Vous devez sélectionner un élément de la liste." promptTitle="Ombrage" prompt="Sélectionnez la situation de la façade dans laquelle la fenêtre est placée qui correspond le mieux." sqref="M38" xr:uid="{D1A866CE-A4D6-4D71-806B-0415CD18D3D5}">
      <formula1>ListHorizont</formula1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rgb="FFFFFF99"/>
    <pageSetUpPr fitToPage="1"/>
  </sheetPr>
  <dimension ref="A1:AK42"/>
  <sheetViews>
    <sheetView showGridLines="0" zoomScaleNormal="100" workbookViewId="0">
      <selection activeCell="B5" sqref="B5"/>
    </sheetView>
  </sheetViews>
  <sheetFormatPr baseColWidth="10" defaultColWidth="8.875" defaultRowHeight="12.45" x14ac:dyDescent="0.3"/>
  <cols>
    <col min="1" max="1" width="2.75" style="29" bestFit="1" customWidth="1"/>
    <col min="2" max="3" width="25.5625" style="29" customWidth="1"/>
    <col min="4" max="7" width="5.75" style="29" customWidth="1"/>
    <col min="8" max="8" width="6" style="29" customWidth="1"/>
    <col min="9" max="9" width="7.25" style="29" customWidth="1"/>
    <col min="10" max="12" width="5.75" style="29" customWidth="1"/>
    <col min="13" max="17" width="6.75" style="29" customWidth="1"/>
    <col min="18" max="18" width="5.3125" style="29" customWidth="1"/>
    <col min="19" max="19" width="6.875" style="29" hidden="1" customWidth="1"/>
    <col min="20" max="20" width="9" style="29" hidden="1" customWidth="1"/>
    <col min="21" max="21" width="7.0625" style="29" hidden="1" customWidth="1"/>
    <col min="22" max="22" width="7.375" style="29" hidden="1" customWidth="1"/>
    <col min="23" max="23" width="6.375" style="29" hidden="1" customWidth="1"/>
    <col min="24" max="24" width="3.75" style="29" hidden="1" customWidth="1"/>
    <col min="25" max="25" width="4" style="29" hidden="1" customWidth="1"/>
    <col min="26" max="26" width="4.75" style="29" hidden="1" customWidth="1"/>
    <col min="27" max="27" width="5.6875" style="29" hidden="1" customWidth="1"/>
    <col min="28" max="28" width="6.25" style="29" hidden="1" customWidth="1"/>
    <col min="29" max="29" width="5.125" style="29" hidden="1" customWidth="1"/>
    <col min="30" max="30" width="4.125" style="29" hidden="1" customWidth="1"/>
    <col min="31" max="31" width="5.25" style="29" hidden="1" customWidth="1"/>
    <col min="32" max="32" width="6.4375" style="29" hidden="1" customWidth="1"/>
    <col min="33" max="33" width="8.0625" style="29" hidden="1" customWidth="1"/>
    <col min="34" max="35" width="10.0625" style="29" hidden="1" customWidth="1"/>
    <col min="36" max="36" width="7.875" style="29" hidden="1" customWidth="1"/>
    <col min="37" max="16384" width="8.875" style="29"/>
  </cols>
  <sheetData>
    <row r="1" spans="1:37" ht="28.5" customHeight="1" x14ac:dyDescent="0.3">
      <c r="A1" s="111" t="str">
        <f>IF(Projektbez="","",Projektbez&amp;" – ")&amp;Texte!$B$61</f>
        <v>Locaux types et lumière du jour</v>
      </c>
      <c r="B1" s="112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09"/>
      <c r="P1" s="109"/>
      <c r="Q1" s="110"/>
      <c r="R1" s="110"/>
      <c r="S1" s="110"/>
      <c r="T1" s="110"/>
      <c r="U1" s="110"/>
      <c r="V1" s="110"/>
      <c r="W1" s="110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7" ht="9" customHeight="1" x14ac:dyDescent="0.3">
      <c r="D2" s="113"/>
      <c r="E2" s="113"/>
      <c r="F2" s="113"/>
      <c r="G2" s="113"/>
      <c r="H2" s="113"/>
      <c r="J2" s="113"/>
      <c r="K2" s="113"/>
    </row>
    <row r="3" spans="1:37" ht="18.75" customHeight="1" x14ac:dyDescent="0.3">
      <c r="A3" s="38"/>
      <c r="B3" s="187" t="str">
        <f>VLOOKUP(ADDRESS(ROW(),COLUMN(),4),MatrixTexteT3,2,FALSE)</f>
        <v>Locaux types</v>
      </c>
      <c r="C3" s="188"/>
      <c r="D3" s="285" t="str">
        <f>VLOOKUP(ADDRESS(ROW(),COLUMN(),4),MatrixTexteT3,2,FALSE)</f>
        <v>Données du local</v>
      </c>
      <c r="E3" s="286"/>
      <c r="F3" s="286"/>
      <c r="G3" s="286"/>
      <c r="H3" s="286"/>
      <c r="I3" s="287"/>
      <c r="J3" s="285" t="str">
        <f>VLOOKUP(ADDRESS(ROW(),COLUMN(),4),MatrixTexteT3,2,FALSE)</f>
        <v>Fenêtres</v>
      </c>
      <c r="K3" s="286"/>
      <c r="L3" s="286"/>
      <c r="M3" s="286"/>
      <c r="N3" s="286"/>
      <c r="O3" s="286"/>
      <c r="P3" s="286"/>
      <c r="Q3" s="287"/>
      <c r="R3" s="174" t="str">
        <f>VLOOKUP(ADDRESS(ROW(),COLUMN(),4),MatrixTexteT3,2,FALSE)</f>
        <v>Rés.</v>
      </c>
      <c r="S3" s="285" t="s">
        <v>122</v>
      </c>
      <c r="T3" s="286"/>
      <c r="U3" s="286"/>
      <c r="V3" s="286"/>
      <c r="W3" s="287"/>
      <c r="X3" s="285" t="s">
        <v>35</v>
      </c>
      <c r="Y3" s="286"/>
      <c r="Z3" s="286"/>
      <c r="AA3" s="286"/>
      <c r="AB3" s="286"/>
      <c r="AC3" s="286"/>
      <c r="AD3" s="286"/>
      <c r="AE3" s="286"/>
      <c r="AF3" s="286"/>
      <c r="AG3" s="287"/>
      <c r="AH3" s="285" t="s">
        <v>121</v>
      </c>
      <c r="AI3" s="286"/>
      <c r="AJ3" s="287"/>
      <c r="AK3" s="102"/>
    </row>
    <row r="4" spans="1:37" s="30" customFormat="1" ht="46.5" customHeight="1" thickBot="1" x14ac:dyDescent="0.45">
      <c r="A4" s="87" t="s">
        <v>651</v>
      </c>
      <c r="B4" s="86" t="str">
        <f>VLOOKUP(ADDRESS(ROW(),COLUMN(),4),MatrixTexteT3,2,FALSE)</f>
        <v>Dénomination du local
-</v>
      </c>
      <c r="C4" s="86" t="str">
        <f>VLOOKUP(ADDRESS(ROW(),COLUMN(),4),MatrixTexteT3,2,FALSE)</f>
        <v>Affectation standard
-</v>
      </c>
      <c r="D4" s="39" t="str">
        <f>VLOOKUP(ADDRESS(ROW(),COLUMN(),4),MatrixTexteT3,2,FALSE)</f>
        <v>Lon-gueur
m</v>
      </c>
      <c r="E4" s="39" t="str">
        <f>VLOOKUP(ADDRESS(ROW(),COLUMN(),4),MatrixTexteT3,2,FALSE)</f>
        <v>Pro-fondeur m</v>
      </c>
      <c r="F4" s="39" t="str">
        <f>VLOOKUP(ADDRESS(ROW(),COLUMN(),4),MatrixTexteT3,2,FALSE)</f>
        <v>Hauteur
m</v>
      </c>
      <c r="G4" s="39" t="str">
        <f>VLOOKUP(ADDRESS(ROW(),COLUMN(),4),MatrixTexteT3,2,FALSE)</f>
        <v>Surface nette
m2</v>
      </c>
      <c r="H4" s="39" t="str">
        <f>VLOOKUP(ADDRESS(ROW(),COLUMN(),4),MatrixTexteT3,2,FALSE)</f>
        <v>Nombre pce</v>
      </c>
      <c r="I4" s="39" t="str">
        <f>VLOOKUP(ADDRESS(ROW(),COLUMN(),4),MatrixTexteT3,2,FALSE)</f>
        <v>Mix de réflexion
-</v>
      </c>
      <c r="J4" s="39" t="str">
        <f>VLOOKUP(ADDRESS(ROW(),COLUMN(),4),MatrixTexteT3,2,FALSE)</f>
        <v>Type 1
-</v>
      </c>
      <c r="K4" s="39" t="str">
        <f t="shared" ref="K4:Q4" si="0">VLOOKUP(ADDRESS(ROW(),COLUMN(),4),MatrixTexteT3,2,FALSE)</f>
        <v>Nombre pce</v>
      </c>
      <c r="L4" s="39" t="str">
        <f t="shared" si="0"/>
        <v>Type 2
-</v>
      </c>
      <c r="M4" s="39" t="str">
        <f t="shared" si="0"/>
        <v>Nombre pce</v>
      </c>
      <c r="N4" s="39" t="str">
        <f t="shared" si="0"/>
        <v>Type 3
-</v>
      </c>
      <c r="O4" s="39" t="str">
        <f t="shared" si="0"/>
        <v>Nombre pce</v>
      </c>
      <c r="P4" s="39" t="str">
        <f t="shared" si="0"/>
        <v>Type 4
-</v>
      </c>
      <c r="Q4" s="39" t="str">
        <f t="shared" si="0"/>
        <v>Nombre pce</v>
      </c>
      <c r="R4" s="39" t="str">
        <f>VLOOKUP(ADDRESS(ROW(),COLUMN(),4),MatrixTexteT3,2,FALSE)</f>
        <v>Degré lum.
%</v>
      </c>
      <c r="S4" s="39" t="s">
        <v>147</v>
      </c>
      <c r="T4" s="39" t="s">
        <v>141</v>
      </c>
      <c r="U4" s="39" t="s">
        <v>124</v>
      </c>
      <c r="V4" s="39" t="s">
        <v>123</v>
      </c>
      <c r="W4" s="39" t="s">
        <v>789</v>
      </c>
      <c r="X4" s="39" t="s">
        <v>148</v>
      </c>
      <c r="Y4" s="39" t="s">
        <v>149</v>
      </c>
      <c r="Z4" s="39" t="s">
        <v>150</v>
      </c>
      <c r="AA4" s="39" t="s">
        <v>151</v>
      </c>
      <c r="AB4" s="39" t="s">
        <v>152</v>
      </c>
      <c r="AC4" s="39" t="s">
        <v>153</v>
      </c>
      <c r="AD4" s="39" t="s">
        <v>154</v>
      </c>
      <c r="AE4" s="39" t="s">
        <v>155</v>
      </c>
      <c r="AF4" s="39" t="s">
        <v>156</v>
      </c>
      <c r="AG4" s="39" t="s">
        <v>685</v>
      </c>
      <c r="AH4" s="39" t="s">
        <v>33</v>
      </c>
      <c r="AI4" s="39" t="s">
        <v>32</v>
      </c>
      <c r="AJ4" s="39" t="s">
        <v>34</v>
      </c>
      <c r="AK4" s="107"/>
    </row>
    <row r="5" spans="1:37" ht="13.3" thickTop="1" thickBot="1" x14ac:dyDescent="0.35">
      <c r="A5" s="40">
        <v>1</v>
      </c>
      <c r="B5" s="253"/>
      <c r="C5" s="254"/>
      <c r="D5" s="255"/>
      <c r="E5" s="255"/>
      <c r="F5" s="255"/>
      <c r="G5" s="255"/>
      <c r="H5" s="255"/>
      <c r="I5" s="256"/>
      <c r="J5" s="51"/>
      <c r="K5" s="56"/>
      <c r="L5" s="256"/>
      <c r="M5" s="56"/>
      <c r="N5" s="256"/>
      <c r="O5" s="56"/>
      <c r="P5" s="256"/>
      <c r="Q5" s="257"/>
      <c r="R5" s="177" t="str">
        <f>IF(AJ5&lt;&gt;0,AJ5,"")</f>
        <v/>
      </c>
      <c r="S5" s="47">
        <f>IF(OR(G5=0,G5=""),(D5*E5),G5)</f>
        <v>0</v>
      </c>
      <c r="T5" s="41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41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41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41">
        <f t="shared" ref="W5:W34" si="4">IF(J5="",0,VLOOKUP(J5,MatrixWindow,3,FALSE)*IF(VLOOKUP(J5,MatrixWindow,9,FALSE)=Ja,0,1)*K5)+IF(L5="",0,VLOOKUP(L5,MatrixWindow,3,FALSE)*IF(VLOOKUP(L5,MatrixWindow,9,FALSE)=Ja,0,1)*M5)+IF(N5="",0,VLOOKUP(N5,MatrixWindow,3,FALSE)*IF(VLOOKUP(N5,MatrixWindow,9,FALSE)=Ja,0,1)*O5)+IF(P5="",0,VLOOKUP(P5,MatrixWindow,3,FALSE)*IF(VLOOKUP(P5,MatrixWindow,9,FALSE)=Ja,0,1)*Q5)</f>
        <v>0</v>
      </c>
      <c r="X5" s="42">
        <f>IF(S5=0,0,T5/S5)</f>
        <v>0</v>
      </c>
      <c r="Y5" s="42">
        <f t="shared" ref="Y5:Y34" si="5">IF(C5="",0,MAX(0.175,0.35*(0.375+(VLOOKUP(C5,MatrixBeleuchtung,4,FALSE)/800))))</f>
        <v>0</v>
      </c>
      <c r="Z5" s="43">
        <f t="shared" ref="Z5:Z34" si="6">IF(I5="",0,VLOOKUP(I5,MatrixRaumReflex,2,FALSE))</f>
        <v>0</v>
      </c>
      <c r="AA5" s="44">
        <f>IF(T5=0,1,0.7/U5)</f>
        <v>1</v>
      </c>
      <c r="AB5" s="45">
        <f t="shared" ref="AB5:AB34" si="7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C5" s="43">
        <f t="shared" ref="AC5:AC34" si="8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D5" s="43">
        <f>ROUND(IF((F5-V5)&lt;2,1.8,0.8+(0.2/(F5-V5-1.8))),2)</f>
        <v>1.8</v>
      </c>
      <c r="AE5" s="43">
        <f t="shared" ref="AE5:AE34" si="9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F5" s="46">
        <f>MIN(11,2*Z5*AA5*AB5*AC5*MAX(AD5,AE5))</f>
        <v>0</v>
      </c>
      <c r="AG5" s="46">
        <f>IF(Y5=0,0,IF(X5&gt;Y5,AF5,0.5*(11-AF5)*COS(PI()*X5/Y5)+0.5*(11+AF5)))</f>
        <v>0</v>
      </c>
      <c r="AH5" s="47">
        <f>IF(C5="",0,IF(C5=Constants!$B$105,8.2,9))</f>
        <v>0</v>
      </c>
      <c r="AI5" s="48">
        <f>MIN(11-AG5,AH5)</f>
        <v>0</v>
      </c>
      <c r="AJ5" s="49">
        <f t="shared" ref="AJ5:AJ34" si="10">IF(OR(AND(AH5=0,AI5=0),AH5=0),0,IF(Bauvorhaben=Neubau,AI5/AH5,IF((AI5/AH5)&gt;=Renovationsfaktor,((0.5*((AI5/AH5)-Renovationsfaktor))/(1-Renovationsfaktor)+0.5),(0.5*(AI5/AH5)/Renovationsfaktor))))</f>
        <v>0</v>
      </c>
      <c r="AK5" s="102"/>
    </row>
    <row r="6" spans="1:37" ht="13.3" thickTop="1" thickBot="1" x14ac:dyDescent="0.35">
      <c r="A6" s="40">
        <v>2</v>
      </c>
      <c r="B6" s="253"/>
      <c r="C6" s="254"/>
      <c r="D6" s="255"/>
      <c r="E6" s="255"/>
      <c r="F6" s="255"/>
      <c r="G6" s="255"/>
      <c r="H6" s="255"/>
      <c r="I6" s="256"/>
      <c r="J6" s="51"/>
      <c r="K6" s="56"/>
      <c r="L6" s="256"/>
      <c r="M6" s="56"/>
      <c r="N6" s="256"/>
      <c r="O6" s="56"/>
      <c r="P6" s="256"/>
      <c r="Q6" s="257"/>
      <c r="R6" s="177" t="str">
        <f t="shared" ref="R6:R34" si="11">IF(AJ6&lt;&gt;0,AJ6,"")</f>
        <v/>
      </c>
      <c r="S6" s="47">
        <f t="shared" ref="S6:S23" si="12">IF(OR(G6=0,G6=""),(D6*E6),G6)</f>
        <v>0</v>
      </c>
      <c r="T6" s="41">
        <f t="shared" si="1"/>
        <v>0</v>
      </c>
      <c r="U6" s="41">
        <f t="shared" si="2"/>
        <v>0</v>
      </c>
      <c r="V6" s="41">
        <f t="shared" si="3"/>
        <v>0</v>
      </c>
      <c r="W6" s="41">
        <f t="shared" si="4"/>
        <v>0</v>
      </c>
      <c r="X6" s="42">
        <f>IF(S6=0,0,T6/S6)</f>
        <v>0</v>
      </c>
      <c r="Y6" s="42">
        <f t="shared" si="5"/>
        <v>0</v>
      </c>
      <c r="Z6" s="43">
        <f t="shared" si="6"/>
        <v>0</v>
      </c>
      <c r="AA6" s="44">
        <f t="shared" ref="AA6:AA23" si="13">IF(T6=0,1,0.7/U6)</f>
        <v>1</v>
      </c>
      <c r="AB6" s="45">
        <f t="shared" si="7"/>
        <v>0</v>
      </c>
      <c r="AC6" s="43">
        <f t="shared" si="8"/>
        <v>0</v>
      </c>
      <c r="AD6" s="43">
        <f t="shared" ref="AD6:AD23" si="14">ROUND(IF((F6-V6)&lt;2,1.8,0.8+(0.2/(F6-V6-1.8))),2)</f>
        <v>1.8</v>
      </c>
      <c r="AE6" s="43">
        <f t="shared" si="9"/>
        <v>0</v>
      </c>
      <c r="AF6" s="46">
        <f t="shared" ref="AF6:AF23" si="15">MIN(11,2*Z6*AA6*AB6*AC6*MAX(AD6,AE6))</f>
        <v>0</v>
      </c>
      <c r="AG6" s="46">
        <f t="shared" ref="AG6:AG34" si="16">IF(Y6=0,0,IF(X6&gt;Y6,AF6,0.5*(11-AF6)*COS(PI()*X6/Y6)+0.5*(11+AF6)))</f>
        <v>0</v>
      </c>
      <c r="AH6" s="47">
        <f>IF(C6="",0,IF(C6=Constants!$B$105,8.2,9))</f>
        <v>0</v>
      </c>
      <c r="AI6" s="48">
        <f t="shared" ref="AI6:AI23" si="17">MIN(11-AG6,AH6)</f>
        <v>0</v>
      </c>
      <c r="AJ6" s="49">
        <f t="shared" si="10"/>
        <v>0</v>
      </c>
      <c r="AK6" s="102"/>
    </row>
    <row r="7" spans="1:37" ht="13.3" thickTop="1" thickBot="1" x14ac:dyDescent="0.35">
      <c r="A7" s="40">
        <v>3</v>
      </c>
      <c r="B7" s="253"/>
      <c r="C7" s="254"/>
      <c r="D7" s="255"/>
      <c r="E7" s="255"/>
      <c r="F7" s="255"/>
      <c r="G7" s="255"/>
      <c r="H7" s="255"/>
      <c r="I7" s="256"/>
      <c r="J7" s="51"/>
      <c r="K7" s="56"/>
      <c r="L7" s="256"/>
      <c r="M7" s="56"/>
      <c r="N7" s="256"/>
      <c r="O7" s="56"/>
      <c r="P7" s="256"/>
      <c r="Q7" s="257"/>
      <c r="R7" s="177" t="str">
        <f t="shared" si="11"/>
        <v/>
      </c>
      <c r="S7" s="47">
        <f t="shared" si="12"/>
        <v>0</v>
      </c>
      <c r="T7" s="41">
        <f t="shared" si="1"/>
        <v>0</v>
      </c>
      <c r="U7" s="41">
        <f t="shared" si="2"/>
        <v>0</v>
      </c>
      <c r="V7" s="41">
        <f t="shared" si="3"/>
        <v>0</v>
      </c>
      <c r="W7" s="41">
        <f t="shared" si="4"/>
        <v>0</v>
      </c>
      <c r="X7" s="42">
        <f t="shared" ref="X7:X23" si="18">IF(S7=0,0,T7/S7)</f>
        <v>0</v>
      </c>
      <c r="Y7" s="42">
        <f t="shared" si="5"/>
        <v>0</v>
      </c>
      <c r="Z7" s="43">
        <f t="shared" si="6"/>
        <v>0</v>
      </c>
      <c r="AA7" s="44">
        <f t="shared" si="13"/>
        <v>1</v>
      </c>
      <c r="AB7" s="45">
        <f t="shared" si="7"/>
        <v>0</v>
      </c>
      <c r="AC7" s="43">
        <f t="shared" si="8"/>
        <v>0</v>
      </c>
      <c r="AD7" s="43">
        <f t="shared" si="14"/>
        <v>1.8</v>
      </c>
      <c r="AE7" s="43">
        <f t="shared" si="9"/>
        <v>0</v>
      </c>
      <c r="AF7" s="46">
        <f t="shared" si="15"/>
        <v>0</v>
      </c>
      <c r="AG7" s="46">
        <f t="shared" si="16"/>
        <v>0</v>
      </c>
      <c r="AH7" s="47">
        <f>IF(C7="",0,IF(C7=Constants!$B$105,8.2,9))</f>
        <v>0</v>
      </c>
      <c r="AI7" s="48">
        <f t="shared" si="17"/>
        <v>0</v>
      </c>
      <c r="AJ7" s="49">
        <f t="shared" si="10"/>
        <v>0</v>
      </c>
      <c r="AK7" s="102"/>
    </row>
    <row r="8" spans="1:37" ht="13.3" thickTop="1" thickBot="1" x14ac:dyDescent="0.35">
      <c r="A8" s="40">
        <v>4</v>
      </c>
      <c r="B8" s="253"/>
      <c r="C8" s="254"/>
      <c r="D8" s="255"/>
      <c r="E8" s="255"/>
      <c r="F8" s="255"/>
      <c r="G8" s="255"/>
      <c r="H8" s="255"/>
      <c r="I8" s="256"/>
      <c r="J8" s="51"/>
      <c r="K8" s="56"/>
      <c r="L8" s="256"/>
      <c r="M8" s="56"/>
      <c r="N8" s="256"/>
      <c r="O8" s="56"/>
      <c r="P8" s="256"/>
      <c r="Q8" s="257"/>
      <c r="R8" s="177" t="str">
        <f t="shared" si="11"/>
        <v/>
      </c>
      <c r="S8" s="47">
        <f t="shared" si="12"/>
        <v>0</v>
      </c>
      <c r="T8" s="41">
        <f t="shared" si="1"/>
        <v>0</v>
      </c>
      <c r="U8" s="41">
        <f t="shared" si="2"/>
        <v>0</v>
      </c>
      <c r="V8" s="41">
        <f t="shared" si="3"/>
        <v>0</v>
      </c>
      <c r="W8" s="41">
        <f t="shared" si="4"/>
        <v>0</v>
      </c>
      <c r="X8" s="42">
        <f t="shared" si="18"/>
        <v>0</v>
      </c>
      <c r="Y8" s="42">
        <f t="shared" si="5"/>
        <v>0</v>
      </c>
      <c r="Z8" s="43">
        <f t="shared" si="6"/>
        <v>0</v>
      </c>
      <c r="AA8" s="44">
        <f t="shared" si="13"/>
        <v>1</v>
      </c>
      <c r="AB8" s="45">
        <f t="shared" si="7"/>
        <v>0</v>
      </c>
      <c r="AC8" s="43">
        <f t="shared" si="8"/>
        <v>0</v>
      </c>
      <c r="AD8" s="43">
        <f t="shared" si="14"/>
        <v>1.8</v>
      </c>
      <c r="AE8" s="43">
        <f t="shared" si="9"/>
        <v>0</v>
      </c>
      <c r="AF8" s="46">
        <f t="shared" si="15"/>
        <v>0</v>
      </c>
      <c r="AG8" s="46">
        <f t="shared" si="16"/>
        <v>0</v>
      </c>
      <c r="AH8" s="47">
        <f>IF(C8="",0,IF(C8=Constants!$B$105,8.2,9))</f>
        <v>0</v>
      </c>
      <c r="AI8" s="48">
        <f t="shared" si="17"/>
        <v>0</v>
      </c>
      <c r="AJ8" s="49">
        <f t="shared" si="10"/>
        <v>0</v>
      </c>
      <c r="AK8" s="102"/>
    </row>
    <row r="9" spans="1:37" ht="13.3" thickTop="1" thickBot="1" x14ac:dyDescent="0.35">
      <c r="A9" s="40">
        <v>5</v>
      </c>
      <c r="B9" s="253"/>
      <c r="C9" s="254"/>
      <c r="D9" s="255"/>
      <c r="E9" s="255"/>
      <c r="F9" s="255"/>
      <c r="G9" s="255"/>
      <c r="H9" s="255"/>
      <c r="I9" s="256"/>
      <c r="J9" s="51"/>
      <c r="K9" s="56"/>
      <c r="L9" s="256"/>
      <c r="M9" s="56"/>
      <c r="N9" s="256"/>
      <c r="O9" s="56"/>
      <c r="P9" s="256"/>
      <c r="Q9" s="257"/>
      <c r="R9" s="177" t="str">
        <f t="shared" si="11"/>
        <v/>
      </c>
      <c r="S9" s="47">
        <f t="shared" si="12"/>
        <v>0</v>
      </c>
      <c r="T9" s="41">
        <f t="shared" si="1"/>
        <v>0</v>
      </c>
      <c r="U9" s="41">
        <f t="shared" si="2"/>
        <v>0</v>
      </c>
      <c r="V9" s="41">
        <f t="shared" si="3"/>
        <v>0</v>
      </c>
      <c r="W9" s="41">
        <f t="shared" si="4"/>
        <v>0</v>
      </c>
      <c r="X9" s="42">
        <f t="shared" si="18"/>
        <v>0</v>
      </c>
      <c r="Y9" s="42">
        <f t="shared" si="5"/>
        <v>0</v>
      </c>
      <c r="Z9" s="43">
        <f t="shared" si="6"/>
        <v>0</v>
      </c>
      <c r="AA9" s="44">
        <f t="shared" si="13"/>
        <v>1</v>
      </c>
      <c r="AB9" s="45">
        <f t="shared" si="7"/>
        <v>0</v>
      </c>
      <c r="AC9" s="43">
        <f t="shared" si="8"/>
        <v>0</v>
      </c>
      <c r="AD9" s="43">
        <f t="shared" si="14"/>
        <v>1.8</v>
      </c>
      <c r="AE9" s="43">
        <f t="shared" si="9"/>
        <v>0</v>
      </c>
      <c r="AF9" s="46">
        <f t="shared" si="15"/>
        <v>0</v>
      </c>
      <c r="AG9" s="46">
        <f t="shared" si="16"/>
        <v>0</v>
      </c>
      <c r="AH9" s="47">
        <f>IF(C9="",0,IF(C9=Constants!$B$105,8.2,9))</f>
        <v>0</v>
      </c>
      <c r="AI9" s="48">
        <f t="shared" si="17"/>
        <v>0</v>
      </c>
      <c r="AJ9" s="49">
        <f t="shared" si="10"/>
        <v>0</v>
      </c>
      <c r="AK9" s="102"/>
    </row>
    <row r="10" spans="1:37" ht="13.3" thickTop="1" thickBot="1" x14ac:dyDescent="0.35">
      <c r="A10" s="40">
        <v>6</v>
      </c>
      <c r="B10" s="253"/>
      <c r="C10" s="254"/>
      <c r="D10" s="255"/>
      <c r="E10" s="255"/>
      <c r="F10" s="255"/>
      <c r="G10" s="255"/>
      <c r="H10" s="255"/>
      <c r="I10" s="256"/>
      <c r="J10" s="51"/>
      <c r="K10" s="56"/>
      <c r="L10" s="256"/>
      <c r="M10" s="56"/>
      <c r="N10" s="256"/>
      <c r="O10" s="56"/>
      <c r="P10" s="256"/>
      <c r="Q10" s="257"/>
      <c r="R10" s="177" t="str">
        <f t="shared" si="11"/>
        <v/>
      </c>
      <c r="S10" s="47">
        <f t="shared" si="12"/>
        <v>0</v>
      </c>
      <c r="T10" s="41">
        <f t="shared" si="1"/>
        <v>0</v>
      </c>
      <c r="U10" s="41">
        <f t="shared" si="2"/>
        <v>0</v>
      </c>
      <c r="V10" s="41">
        <f t="shared" si="3"/>
        <v>0</v>
      </c>
      <c r="W10" s="41">
        <f t="shared" si="4"/>
        <v>0</v>
      </c>
      <c r="X10" s="42">
        <f t="shared" si="18"/>
        <v>0</v>
      </c>
      <c r="Y10" s="42">
        <f t="shared" si="5"/>
        <v>0</v>
      </c>
      <c r="Z10" s="43">
        <f t="shared" si="6"/>
        <v>0</v>
      </c>
      <c r="AA10" s="44">
        <f t="shared" si="13"/>
        <v>1</v>
      </c>
      <c r="AB10" s="45">
        <f t="shared" si="7"/>
        <v>0</v>
      </c>
      <c r="AC10" s="43">
        <f t="shared" si="8"/>
        <v>0</v>
      </c>
      <c r="AD10" s="43">
        <f t="shared" si="14"/>
        <v>1.8</v>
      </c>
      <c r="AE10" s="43">
        <f t="shared" si="9"/>
        <v>0</v>
      </c>
      <c r="AF10" s="46">
        <f t="shared" si="15"/>
        <v>0</v>
      </c>
      <c r="AG10" s="46">
        <f t="shared" si="16"/>
        <v>0</v>
      </c>
      <c r="AH10" s="47">
        <f>IF(C10="",0,IF(C10=Constants!$B$105,8.2,9))</f>
        <v>0</v>
      </c>
      <c r="AI10" s="48">
        <f t="shared" si="17"/>
        <v>0</v>
      </c>
      <c r="AJ10" s="49">
        <f t="shared" si="10"/>
        <v>0</v>
      </c>
      <c r="AK10" s="102"/>
    </row>
    <row r="11" spans="1:37" ht="13.3" thickTop="1" thickBot="1" x14ac:dyDescent="0.35">
      <c r="A11" s="40">
        <v>7</v>
      </c>
      <c r="B11" s="253"/>
      <c r="C11" s="254"/>
      <c r="D11" s="255"/>
      <c r="E11" s="255"/>
      <c r="F11" s="255"/>
      <c r="G11" s="255"/>
      <c r="H11" s="255"/>
      <c r="I11" s="256"/>
      <c r="J11" s="51"/>
      <c r="K11" s="56"/>
      <c r="L11" s="256"/>
      <c r="M11" s="56"/>
      <c r="N11" s="256"/>
      <c r="O11" s="56"/>
      <c r="P11" s="256"/>
      <c r="Q11" s="257"/>
      <c r="R11" s="177" t="str">
        <f t="shared" si="11"/>
        <v/>
      </c>
      <c r="S11" s="47">
        <f t="shared" si="12"/>
        <v>0</v>
      </c>
      <c r="T11" s="41">
        <f t="shared" si="1"/>
        <v>0</v>
      </c>
      <c r="U11" s="41">
        <f t="shared" si="2"/>
        <v>0</v>
      </c>
      <c r="V11" s="41">
        <f t="shared" si="3"/>
        <v>0</v>
      </c>
      <c r="W11" s="41">
        <f t="shared" si="4"/>
        <v>0</v>
      </c>
      <c r="X11" s="42">
        <f t="shared" si="18"/>
        <v>0</v>
      </c>
      <c r="Y11" s="42">
        <f t="shared" si="5"/>
        <v>0</v>
      </c>
      <c r="Z11" s="43">
        <f t="shared" si="6"/>
        <v>0</v>
      </c>
      <c r="AA11" s="44">
        <f t="shared" si="13"/>
        <v>1</v>
      </c>
      <c r="AB11" s="45">
        <f t="shared" si="7"/>
        <v>0</v>
      </c>
      <c r="AC11" s="43">
        <f t="shared" si="8"/>
        <v>0</v>
      </c>
      <c r="AD11" s="43">
        <f t="shared" si="14"/>
        <v>1.8</v>
      </c>
      <c r="AE11" s="43">
        <f t="shared" si="9"/>
        <v>0</v>
      </c>
      <c r="AF11" s="46">
        <f t="shared" si="15"/>
        <v>0</v>
      </c>
      <c r="AG11" s="46">
        <f t="shared" si="16"/>
        <v>0</v>
      </c>
      <c r="AH11" s="47">
        <f>IF(C11="",0,IF(C11=Constants!$B$105,8.2,9))</f>
        <v>0</v>
      </c>
      <c r="AI11" s="48">
        <f t="shared" si="17"/>
        <v>0</v>
      </c>
      <c r="AJ11" s="49">
        <f t="shared" si="10"/>
        <v>0</v>
      </c>
      <c r="AK11" s="102"/>
    </row>
    <row r="12" spans="1:37" ht="13.3" thickTop="1" thickBot="1" x14ac:dyDescent="0.35">
      <c r="A12" s="40">
        <v>8</v>
      </c>
      <c r="B12" s="253"/>
      <c r="C12" s="254"/>
      <c r="D12" s="255"/>
      <c r="E12" s="255"/>
      <c r="F12" s="255"/>
      <c r="G12" s="255"/>
      <c r="H12" s="255"/>
      <c r="I12" s="256"/>
      <c r="J12" s="51"/>
      <c r="K12" s="56"/>
      <c r="L12" s="256"/>
      <c r="M12" s="56"/>
      <c r="N12" s="256"/>
      <c r="O12" s="56"/>
      <c r="P12" s="256"/>
      <c r="Q12" s="257"/>
      <c r="R12" s="177" t="str">
        <f t="shared" si="11"/>
        <v/>
      </c>
      <c r="S12" s="47">
        <f t="shared" si="12"/>
        <v>0</v>
      </c>
      <c r="T12" s="41">
        <f t="shared" si="1"/>
        <v>0</v>
      </c>
      <c r="U12" s="41">
        <f t="shared" si="2"/>
        <v>0</v>
      </c>
      <c r="V12" s="41">
        <f t="shared" si="3"/>
        <v>0</v>
      </c>
      <c r="W12" s="41">
        <f t="shared" si="4"/>
        <v>0</v>
      </c>
      <c r="X12" s="42">
        <f t="shared" si="18"/>
        <v>0</v>
      </c>
      <c r="Y12" s="42">
        <f t="shared" si="5"/>
        <v>0</v>
      </c>
      <c r="Z12" s="43">
        <f t="shared" si="6"/>
        <v>0</v>
      </c>
      <c r="AA12" s="44">
        <f t="shared" si="13"/>
        <v>1</v>
      </c>
      <c r="AB12" s="45">
        <f t="shared" si="7"/>
        <v>0</v>
      </c>
      <c r="AC12" s="43">
        <f t="shared" si="8"/>
        <v>0</v>
      </c>
      <c r="AD12" s="43">
        <f t="shared" si="14"/>
        <v>1.8</v>
      </c>
      <c r="AE12" s="43">
        <f t="shared" si="9"/>
        <v>0</v>
      </c>
      <c r="AF12" s="46">
        <f t="shared" si="15"/>
        <v>0</v>
      </c>
      <c r="AG12" s="46">
        <f t="shared" si="16"/>
        <v>0</v>
      </c>
      <c r="AH12" s="47">
        <f>IF(C12="",0,IF(C12=Constants!$B$105,8.2,9))</f>
        <v>0</v>
      </c>
      <c r="AI12" s="48">
        <f t="shared" si="17"/>
        <v>0</v>
      </c>
      <c r="AJ12" s="49">
        <f t="shared" si="10"/>
        <v>0</v>
      </c>
      <c r="AK12" s="102"/>
    </row>
    <row r="13" spans="1:37" ht="13.3" thickTop="1" thickBot="1" x14ac:dyDescent="0.35">
      <c r="A13" s="40">
        <v>9</v>
      </c>
      <c r="B13" s="253"/>
      <c r="C13" s="254"/>
      <c r="D13" s="255"/>
      <c r="E13" s="255"/>
      <c r="F13" s="255"/>
      <c r="G13" s="255"/>
      <c r="H13" s="255"/>
      <c r="I13" s="256"/>
      <c r="J13" s="51"/>
      <c r="K13" s="56"/>
      <c r="L13" s="256"/>
      <c r="M13" s="56"/>
      <c r="N13" s="256"/>
      <c r="O13" s="56"/>
      <c r="P13" s="256"/>
      <c r="Q13" s="257"/>
      <c r="R13" s="177" t="str">
        <f t="shared" si="11"/>
        <v/>
      </c>
      <c r="S13" s="47">
        <f t="shared" si="12"/>
        <v>0</v>
      </c>
      <c r="T13" s="41">
        <f t="shared" si="1"/>
        <v>0</v>
      </c>
      <c r="U13" s="41">
        <f t="shared" si="2"/>
        <v>0</v>
      </c>
      <c r="V13" s="41">
        <f t="shared" si="3"/>
        <v>0</v>
      </c>
      <c r="W13" s="41">
        <f t="shared" si="4"/>
        <v>0</v>
      </c>
      <c r="X13" s="42">
        <f t="shared" si="18"/>
        <v>0</v>
      </c>
      <c r="Y13" s="42">
        <f t="shared" si="5"/>
        <v>0</v>
      </c>
      <c r="Z13" s="43">
        <f t="shared" si="6"/>
        <v>0</v>
      </c>
      <c r="AA13" s="44">
        <f t="shared" si="13"/>
        <v>1</v>
      </c>
      <c r="AB13" s="45">
        <f t="shared" si="7"/>
        <v>0</v>
      </c>
      <c r="AC13" s="43">
        <f t="shared" si="8"/>
        <v>0</v>
      </c>
      <c r="AD13" s="43">
        <f t="shared" si="14"/>
        <v>1.8</v>
      </c>
      <c r="AE13" s="43">
        <f t="shared" si="9"/>
        <v>0</v>
      </c>
      <c r="AF13" s="46">
        <f t="shared" si="15"/>
        <v>0</v>
      </c>
      <c r="AG13" s="46">
        <f t="shared" si="16"/>
        <v>0</v>
      </c>
      <c r="AH13" s="47">
        <f>IF(C13="",0,IF(C13=Constants!$B$105,8.2,9))</f>
        <v>0</v>
      </c>
      <c r="AI13" s="48">
        <f t="shared" si="17"/>
        <v>0</v>
      </c>
      <c r="AJ13" s="49">
        <f t="shared" si="10"/>
        <v>0</v>
      </c>
      <c r="AK13" s="102"/>
    </row>
    <row r="14" spans="1:37" ht="13.3" thickTop="1" thickBot="1" x14ac:dyDescent="0.35">
      <c r="A14" s="40">
        <v>10</v>
      </c>
      <c r="B14" s="253"/>
      <c r="C14" s="254"/>
      <c r="D14" s="255"/>
      <c r="E14" s="255"/>
      <c r="F14" s="255"/>
      <c r="G14" s="255"/>
      <c r="H14" s="255"/>
      <c r="I14" s="256"/>
      <c r="J14" s="51"/>
      <c r="K14" s="56"/>
      <c r="L14" s="256"/>
      <c r="M14" s="56"/>
      <c r="N14" s="256"/>
      <c r="O14" s="56"/>
      <c r="P14" s="256"/>
      <c r="Q14" s="257"/>
      <c r="R14" s="177" t="str">
        <f t="shared" si="11"/>
        <v/>
      </c>
      <c r="S14" s="47">
        <f t="shared" si="12"/>
        <v>0</v>
      </c>
      <c r="T14" s="41">
        <f t="shared" si="1"/>
        <v>0</v>
      </c>
      <c r="U14" s="41">
        <f t="shared" si="2"/>
        <v>0</v>
      </c>
      <c r="V14" s="41">
        <f t="shared" si="3"/>
        <v>0</v>
      </c>
      <c r="W14" s="41">
        <f t="shared" si="4"/>
        <v>0</v>
      </c>
      <c r="X14" s="42">
        <f t="shared" si="18"/>
        <v>0</v>
      </c>
      <c r="Y14" s="42">
        <f t="shared" si="5"/>
        <v>0</v>
      </c>
      <c r="Z14" s="43">
        <f t="shared" si="6"/>
        <v>0</v>
      </c>
      <c r="AA14" s="44">
        <f t="shared" si="13"/>
        <v>1</v>
      </c>
      <c r="AB14" s="45">
        <f t="shared" si="7"/>
        <v>0</v>
      </c>
      <c r="AC14" s="43">
        <f t="shared" si="8"/>
        <v>0</v>
      </c>
      <c r="AD14" s="43">
        <f t="shared" si="14"/>
        <v>1.8</v>
      </c>
      <c r="AE14" s="43">
        <f t="shared" si="9"/>
        <v>0</v>
      </c>
      <c r="AF14" s="46">
        <f t="shared" si="15"/>
        <v>0</v>
      </c>
      <c r="AG14" s="46">
        <f t="shared" si="16"/>
        <v>0</v>
      </c>
      <c r="AH14" s="47">
        <f>IF(C14="",0,IF(C14=Constants!$B$105,8.2,9))</f>
        <v>0</v>
      </c>
      <c r="AI14" s="48">
        <f t="shared" si="17"/>
        <v>0</v>
      </c>
      <c r="AJ14" s="49">
        <f t="shared" si="10"/>
        <v>0</v>
      </c>
      <c r="AK14" s="102"/>
    </row>
    <row r="15" spans="1:37" ht="13.3" thickTop="1" thickBot="1" x14ac:dyDescent="0.35">
      <c r="A15" s="40">
        <v>11</v>
      </c>
      <c r="B15" s="253"/>
      <c r="C15" s="254"/>
      <c r="D15" s="255"/>
      <c r="E15" s="255"/>
      <c r="F15" s="255"/>
      <c r="G15" s="255"/>
      <c r="H15" s="255"/>
      <c r="I15" s="256"/>
      <c r="J15" s="51"/>
      <c r="K15" s="56"/>
      <c r="L15" s="256"/>
      <c r="M15" s="56"/>
      <c r="N15" s="256"/>
      <c r="O15" s="56"/>
      <c r="P15" s="256"/>
      <c r="Q15" s="257"/>
      <c r="R15" s="177" t="str">
        <f t="shared" si="11"/>
        <v/>
      </c>
      <c r="S15" s="47">
        <f t="shared" si="12"/>
        <v>0</v>
      </c>
      <c r="T15" s="41">
        <f t="shared" si="1"/>
        <v>0</v>
      </c>
      <c r="U15" s="41">
        <f t="shared" si="2"/>
        <v>0</v>
      </c>
      <c r="V15" s="41">
        <f t="shared" si="3"/>
        <v>0</v>
      </c>
      <c r="W15" s="41">
        <f t="shared" si="4"/>
        <v>0</v>
      </c>
      <c r="X15" s="42">
        <f t="shared" si="18"/>
        <v>0</v>
      </c>
      <c r="Y15" s="42">
        <f t="shared" si="5"/>
        <v>0</v>
      </c>
      <c r="Z15" s="43">
        <f t="shared" si="6"/>
        <v>0</v>
      </c>
      <c r="AA15" s="44">
        <f t="shared" si="13"/>
        <v>1</v>
      </c>
      <c r="AB15" s="45">
        <f t="shared" si="7"/>
        <v>0</v>
      </c>
      <c r="AC15" s="43">
        <f t="shared" si="8"/>
        <v>0</v>
      </c>
      <c r="AD15" s="43">
        <f t="shared" si="14"/>
        <v>1.8</v>
      </c>
      <c r="AE15" s="43">
        <f t="shared" si="9"/>
        <v>0</v>
      </c>
      <c r="AF15" s="46">
        <f t="shared" si="15"/>
        <v>0</v>
      </c>
      <c r="AG15" s="46">
        <f t="shared" si="16"/>
        <v>0</v>
      </c>
      <c r="AH15" s="47">
        <f>IF(C15="",0,IF(C15=Constants!$B$105,8.2,9))</f>
        <v>0</v>
      </c>
      <c r="AI15" s="48">
        <f t="shared" si="17"/>
        <v>0</v>
      </c>
      <c r="AJ15" s="49">
        <f t="shared" si="10"/>
        <v>0</v>
      </c>
      <c r="AK15" s="102"/>
    </row>
    <row r="16" spans="1:37" ht="13.3" thickTop="1" thickBot="1" x14ac:dyDescent="0.35">
      <c r="A16" s="40">
        <v>12</v>
      </c>
      <c r="B16" s="253"/>
      <c r="C16" s="254"/>
      <c r="D16" s="255"/>
      <c r="E16" s="255"/>
      <c r="F16" s="255"/>
      <c r="G16" s="255"/>
      <c r="H16" s="255"/>
      <c r="I16" s="256"/>
      <c r="J16" s="51"/>
      <c r="K16" s="56"/>
      <c r="L16" s="256"/>
      <c r="M16" s="56"/>
      <c r="N16" s="256"/>
      <c r="O16" s="56"/>
      <c r="P16" s="256"/>
      <c r="Q16" s="257"/>
      <c r="R16" s="177" t="str">
        <f t="shared" si="11"/>
        <v/>
      </c>
      <c r="S16" s="47">
        <f t="shared" si="12"/>
        <v>0</v>
      </c>
      <c r="T16" s="41">
        <f t="shared" si="1"/>
        <v>0</v>
      </c>
      <c r="U16" s="41">
        <f t="shared" si="2"/>
        <v>0</v>
      </c>
      <c r="V16" s="41">
        <f t="shared" si="3"/>
        <v>0</v>
      </c>
      <c r="W16" s="41">
        <f t="shared" si="4"/>
        <v>0</v>
      </c>
      <c r="X16" s="42">
        <f t="shared" si="18"/>
        <v>0</v>
      </c>
      <c r="Y16" s="42">
        <f t="shared" si="5"/>
        <v>0</v>
      </c>
      <c r="Z16" s="43">
        <f t="shared" si="6"/>
        <v>0</v>
      </c>
      <c r="AA16" s="44">
        <f t="shared" si="13"/>
        <v>1</v>
      </c>
      <c r="AB16" s="45">
        <f t="shared" si="7"/>
        <v>0</v>
      </c>
      <c r="AC16" s="43">
        <f t="shared" si="8"/>
        <v>0</v>
      </c>
      <c r="AD16" s="43">
        <f t="shared" si="14"/>
        <v>1.8</v>
      </c>
      <c r="AE16" s="43">
        <f t="shared" si="9"/>
        <v>0</v>
      </c>
      <c r="AF16" s="46">
        <f t="shared" si="15"/>
        <v>0</v>
      </c>
      <c r="AG16" s="46">
        <f t="shared" si="16"/>
        <v>0</v>
      </c>
      <c r="AH16" s="47">
        <f>IF(C16="",0,IF(C16=Constants!$B$105,8.2,9))</f>
        <v>0</v>
      </c>
      <c r="AI16" s="48">
        <f t="shared" si="17"/>
        <v>0</v>
      </c>
      <c r="AJ16" s="49">
        <f t="shared" si="10"/>
        <v>0</v>
      </c>
      <c r="AK16" s="102"/>
    </row>
    <row r="17" spans="1:37" ht="13.3" thickTop="1" thickBot="1" x14ac:dyDescent="0.35">
      <c r="A17" s="40">
        <v>13</v>
      </c>
      <c r="B17" s="253"/>
      <c r="C17" s="254"/>
      <c r="D17" s="255"/>
      <c r="E17" s="255"/>
      <c r="F17" s="255"/>
      <c r="G17" s="255"/>
      <c r="H17" s="255"/>
      <c r="I17" s="256"/>
      <c r="J17" s="51"/>
      <c r="K17" s="56"/>
      <c r="L17" s="256"/>
      <c r="M17" s="56"/>
      <c r="N17" s="256"/>
      <c r="O17" s="56"/>
      <c r="P17" s="256"/>
      <c r="Q17" s="257"/>
      <c r="R17" s="177" t="str">
        <f t="shared" si="11"/>
        <v/>
      </c>
      <c r="S17" s="47">
        <f t="shared" si="12"/>
        <v>0</v>
      </c>
      <c r="T17" s="41">
        <f t="shared" si="1"/>
        <v>0</v>
      </c>
      <c r="U17" s="41">
        <f t="shared" si="2"/>
        <v>0</v>
      </c>
      <c r="V17" s="41">
        <f t="shared" si="3"/>
        <v>0</v>
      </c>
      <c r="W17" s="41">
        <f t="shared" si="4"/>
        <v>0</v>
      </c>
      <c r="X17" s="42">
        <f t="shared" si="18"/>
        <v>0</v>
      </c>
      <c r="Y17" s="42">
        <f t="shared" si="5"/>
        <v>0</v>
      </c>
      <c r="Z17" s="43">
        <f t="shared" si="6"/>
        <v>0</v>
      </c>
      <c r="AA17" s="44">
        <f t="shared" si="13"/>
        <v>1</v>
      </c>
      <c r="AB17" s="45">
        <f t="shared" si="7"/>
        <v>0</v>
      </c>
      <c r="AC17" s="43">
        <f t="shared" si="8"/>
        <v>0</v>
      </c>
      <c r="AD17" s="43">
        <f t="shared" si="14"/>
        <v>1.8</v>
      </c>
      <c r="AE17" s="43">
        <f t="shared" si="9"/>
        <v>0</v>
      </c>
      <c r="AF17" s="46">
        <f t="shared" si="15"/>
        <v>0</v>
      </c>
      <c r="AG17" s="46">
        <f t="shared" si="16"/>
        <v>0</v>
      </c>
      <c r="AH17" s="47">
        <f>IF(C17="",0,IF(C17=Constants!$B$105,8.2,9))</f>
        <v>0</v>
      </c>
      <c r="AI17" s="48">
        <f t="shared" si="17"/>
        <v>0</v>
      </c>
      <c r="AJ17" s="49">
        <f t="shared" si="10"/>
        <v>0</v>
      </c>
      <c r="AK17" s="102"/>
    </row>
    <row r="18" spans="1:37" ht="13.3" thickTop="1" thickBot="1" x14ac:dyDescent="0.35">
      <c r="A18" s="40">
        <v>14</v>
      </c>
      <c r="B18" s="253"/>
      <c r="C18" s="254"/>
      <c r="D18" s="255"/>
      <c r="E18" s="255"/>
      <c r="F18" s="255"/>
      <c r="G18" s="255"/>
      <c r="H18" s="255"/>
      <c r="I18" s="256"/>
      <c r="J18" s="51"/>
      <c r="K18" s="56"/>
      <c r="L18" s="256"/>
      <c r="M18" s="56"/>
      <c r="N18" s="256"/>
      <c r="O18" s="56"/>
      <c r="P18" s="256"/>
      <c r="Q18" s="257"/>
      <c r="R18" s="177" t="str">
        <f t="shared" si="11"/>
        <v/>
      </c>
      <c r="S18" s="47">
        <f t="shared" si="12"/>
        <v>0</v>
      </c>
      <c r="T18" s="41">
        <f t="shared" si="1"/>
        <v>0</v>
      </c>
      <c r="U18" s="41">
        <f t="shared" si="2"/>
        <v>0</v>
      </c>
      <c r="V18" s="41">
        <f t="shared" si="3"/>
        <v>0</v>
      </c>
      <c r="W18" s="41">
        <f t="shared" si="4"/>
        <v>0</v>
      </c>
      <c r="X18" s="42">
        <f t="shared" si="18"/>
        <v>0</v>
      </c>
      <c r="Y18" s="42">
        <f t="shared" si="5"/>
        <v>0</v>
      </c>
      <c r="Z18" s="43">
        <f t="shared" si="6"/>
        <v>0</v>
      </c>
      <c r="AA18" s="44">
        <f t="shared" si="13"/>
        <v>1</v>
      </c>
      <c r="AB18" s="45">
        <f t="shared" si="7"/>
        <v>0</v>
      </c>
      <c r="AC18" s="43">
        <f t="shared" si="8"/>
        <v>0</v>
      </c>
      <c r="AD18" s="43">
        <f t="shared" si="14"/>
        <v>1.8</v>
      </c>
      <c r="AE18" s="43">
        <f t="shared" si="9"/>
        <v>0</v>
      </c>
      <c r="AF18" s="46">
        <f t="shared" si="15"/>
        <v>0</v>
      </c>
      <c r="AG18" s="46">
        <f t="shared" si="16"/>
        <v>0</v>
      </c>
      <c r="AH18" s="47">
        <f>IF(C18="",0,IF(C18=Constants!$B$105,8.2,9))</f>
        <v>0</v>
      </c>
      <c r="AI18" s="48">
        <f t="shared" si="17"/>
        <v>0</v>
      </c>
      <c r="AJ18" s="49">
        <f t="shared" si="10"/>
        <v>0</v>
      </c>
      <c r="AK18" s="102"/>
    </row>
    <row r="19" spans="1:37" ht="13.3" thickTop="1" thickBot="1" x14ac:dyDescent="0.35">
      <c r="A19" s="40">
        <v>15</v>
      </c>
      <c r="B19" s="253"/>
      <c r="C19" s="254"/>
      <c r="D19" s="255"/>
      <c r="E19" s="255"/>
      <c r="F19" s="255"/>
      <c r="G19" s="255"/>
      <c r="H19" s="255"/>
      <c r="I19" s="256"/>
      <c r="J19" s="51"/>
      <c r="K19" s="56"/>
      <c r="L19" s="256"/>
      <c r="M19" s="56"/>
      <c r="N19" s="256"/>
      <c r="O19" s="56"/>
      <c r="P19" s="256"/>
      <c r="Q19" s="257"/>
      <c r="R19" s="177" t="str">
        <f t="shared" si="11"/>
        <v/>
      </c>
      <c r="S19" s="47">
        <f t="shared" si="12"/>
        <v>0</v>
      </c>
      <c r="T19" s="41">
        <f t="shared" si="1"/>
        <v>0</v>
      </c>
      <c r="U19" s="41">
        <f t="shared" si="2"/>
        <v>0</v>
      </c>
      <c r="V19" s="41">
        <f t="shared" si="3"/>
        <v>0</v>
      </c>
      <c r="W19" s="41">
        <f t="shared" si="4"/>
        <v>0</v>
      </c>
      <c r="X19" s="42">
        <f t="shared" si="18"/>
        <v>0</v>
      </c>
      <c r="Y19" s="42">
        <f t="shared" si="5"/>
        <v>0</v>
      </c>
      <c r="Z19" s="43">
        <f t="shared" si="6"/>
        <v>0</v>
      </c>
      <c r="AA19" s="44">
        <f t="shared" si="13"/>
        <v>1</v>
      </c>
      <c r="AB19" s="45">
        <f t="shared" si="7"/>
        <v>0</v>
      </c>
      <c r="AC19" s="43">
        <f t="shared" si="8"/>
        <v>0</v>
      </c>
      <c r="AD19" s="43">
        <f t="shared" si="14"/>
        <v>1.8</v>
      </c>
      <c r="AE19" s="43">
        <f t="shared" si="9"/>
        <v>0</v>
      </c>
      <c r="AF19" s="46">
        <f t="shared" si="15"/>
        <v>0</v>
      </c>
      <c r="AG19" s="46">
        <f t="shared" si="16"/>
        <v>0</v>
      </c>
      <c r="AH19" s="47">
        <f>IF(C19="",0,IF(C19=Constants!$B$105,8.2,9))</f>
        <v>0</v>
      </c>
      <c r="AI19" s="48">
        <f t="shared" si="17"/>
        <v>0</v>
      </c>
      <c r="AJ19" s="49">
        <f t="shared" si="10"/>
        <v>0</v>
      </c>
      <c r="AK19" s="102"/>
    </row>
    <row r="20" spans="1:37" ht="13.3" thickTop="1" thickBot="1" x14ac:dyDescent="0.35">
      <c r="A20" s="40">
        <v>16</v>
      </c>
      <c r="B20" s="253"/>
      <c r="C20" s="254"/>
      <c r="D20" s="255"/>
      <c r="E20" s="255"/>
      <c r="F20" s="255"/>
      <c r="G20" s="255"/>
      <c r="H20" s="255"/>
      <c r="I20" s="256"/>
      <c r="J20" s="51"/>
      <c r="K20" s="56"/>
      <c r="L20" s="256"/>
      <c r="M20" s="56"/>
      <c r="N20" s="256"/>
      <c r="O20" s="56"/>
      <c r="P20" s="256"/>
      <c r="Q20" s="257"/>
      <c r="R20" s="177" t="str">
        <f t="shared" si="11"/>
        <v/>
      </c>
      <c r="S20" s="47">
        <f t="shared" si="12"/>
        <v>0</v>
      </c>
      <c r="T20" s="41">
        <f t="shared" si="1"/>
        <v>0</v>
      </c>
      <c r="U20" s="41">
        <f t="shared" si="2"/>
        <v>0</v>
      </c>
      <c r="V20" s="41">
        <f t="shared" si="3"/>
        <v>0</v>
      </c>
      <c r="W20" s="41">
        <f t="shared" si="4"/>
        <v>0</v>
      </c>
      <c r="X20" s="42">
        <f t="shared" si="18"/>
        <v>0</v>
      </c>
      <c r="Y20" s="42">
        <f t="shared" si="5"/>
        <v>0</v>
      </c>
      <c r="Z20" s="43">
        <f t="shared" si="6"/>
        <v>0</v>
      </c>
      <c r="AA20" s="44">
        <f t="shared" si="13"/>
        <v>1</v>
      </c>
      <c r="AB20" s="45">
        <f t="shared" si="7"/>
        <v>0</v>
      </c>
      <c r="AC20" s="43">
        <f t="shared" si="8"/>
        <v>0</v>
      </c>
      <c r="AD20" s="43">
        <f t="shared" si="14"/>
        <v>1.8</v>
      </c>
      <c r="AE20" s="43">
        <f t="shared" si="9"/>
        <v>0</v>
      </c>
      <c r="AF20" s="46">
        <f t="shared" si="15"/>
        <v>0</v>
      </c>
      <c r="AG20" s="46">
        <f t="shared" si="16"/>
        <v>0</v>
      </c>
      <c r="AH20" s="47">
        <f>IF(C20="",0,IF(C20=Constants!$B$105,8.2,9))</f>
        <v>0</v>
      </c>
      <c r="AI20" s="48">
        <f t="shared" si="17"/>
        <v>0</v>
      </c>
      <c r="AJ20" s="49">
        <f t="shared" si="10"/>
        <v>0</v>
      </c>
      <c r="AK20" s="102"/>
    </row>
    <row r="21" spans="1:37" ht="13.3" thickTop="1" thickBot="1" x14ac:dyDescent="0.35">
      <c r="A21" s="40">
        <v>17</v>
      </c>
      <c r="B21" s="253"/>
      <c r="C21" s="254"/>
      <c r="D21" s="255"/>
      <c r="E21" s="255"/>
      <c r="F21" s="255"/>
      <c r="G21" s="255"/>
      <c r="H21" s="255"/>
      <c r="I21" s="256"/>
      <c r="J21" s="51"/>
      <c r="K21" s="56"/>
      <c r="L21" s="256"/>
      <c r="M21" s="56"/>
      <c r="N21" s="256"/>
      <c r="O21" s="56"/>
      <c r="P21" s="256"/>
      <c r="Q21" s="257"/>
      <c r="R21" s="177" t="str">
        <f t="shared" si="11"/>
        <v/>
      </c>
      <c r="S21" s="47">
        <f t="shared" si="12"/>
        <v>0</v>
      </c>
      <c r="T21" s="41">
        <f t="shared" si="1"/>
        <v>0</v>
      </c>
      <c r="U21" s="41">
        <f t="shared" si="2"/>
        <v>0</v>
      </c>
      <c r="V21" s="41">
        <f t="shared" si="3"/>
        <v>0</v>
      </c>
      <c r="W21" s="41">
        <f t="shared" si="4"/>
        <v>0</v>
      </c>
      <c r="X21" s="42">
        <f t="shared" si="18"/>
        <v>0</v>
      </c>
      <c r="Y21" s="42">
        <f t="shared" si="5"/>
        <v>0</v>
      </c>
      <c r="Z21" s="43">
        <f t="shared" si="6"/>
        <v>0</v>
      </c>
      <c r="AA21" s="44">
        <f t="shared" si="13"/>
        <v>1</v>
      </c>
      <c r="AB21" s="45">
        <f t="shared" si="7"/>
        <v>0</v>
      </c>
      <c r="AC21" s="43">
        <f t="shared" si="8"/>
        <v>0</v>
      </c>
      <c r="AD21" s="43">
        <f t="shared" si="14"/>
        <v>1.8</v>
      </c>
      <c r="AE21" s="43">
        <f t="shared" si="9"/>
        <v>0</v>
      </c>
      <c r="AF21" s="46">
        <f t="shared" si="15"/>
        <v>0</v>
      </c>
      <c r="AG21" s="46">
        <f t="shared" si="16"/>
        <v>0</v>
      </c>
      <c r="AH21" s="47">
        <f>IF(C21="",0,IF(C21=Constants!$B$105,8.2,9))</f>
        <v>0</v>
      </c>
      <c r="AI21" s="48">
        <f t="shared" si="17"/>
        <v>0</v>
      </c>
      <c r="AJ21" s="49">
        <f t="shared" si="10"/>
        <v>0</v>
      </c>
      <c r="AK21" s="102"/>
    </row>
    <row r="22" spans="1:37" ht="13.3" thickTop="1" thickBot="1" x14ac:dyDescent="0.35">
      <c r="A22" s="40">
        <v>18</v>
      </c>
      <c r="B22" s="253"/>
      <c r="C22" s="254"/>
      <c r="D22" s="255"/>
      <c r="E22" s="255"/>
      <c r="F22" s="255"/>
      <c r="G22" s="255"/>
      <c r="H22" s="255"/>
      <c r="I22" s="256"/>
      <c r="J22" s="51"/>
      <c r="K22" s="56"/>
      <c r="L22" s="256"/>
      <c r="M22" s="56"/>
      <c r="N22" s="256"/>
      <c r="O22" s="56"/>
      <c r="P22" s="256"/>
      <c r="Q22" s="257"/>
      <c r="R22" s="177" t="str">
        <f t="shared" si="11"/>
        <v/>
      </c>
      <c r="S22" s="47">
        <f t="shared" si="12"/>
        <v>0</v>
      </c>
      <c r="T22" s="41">
        <f t="shared" si="1"/>
        <v>0</v>
      </c>
      <c r="U22" s="41">
        <f t="shared" si="2"/>
        <v>0</v>
      </c>
      <c r="V22" s="41">
        <f t="shared" si="3"/>
        <v>0</v>
      </c>
      <c r="W22" s="41">
        <f t="shared" si="4"/>
        <v>0</v>
      </c>
      <c r="X22" s="42">
        <f t="shared" si="18"/>
        <v>0</v>
      </c>
      <c r="Y22" s="42">
        <f t="shared" si="5"/>
        <v>0</v>
      </c>
      <c r="Z22" s="43">
        <f t="shared" si="6"/>
        <v>0</v>
      </c>
      <c r="AA22" s="44">
        <f t="shared" si="13"/>
        <v>1</v>
      </c>
      <c r="AB22" s="45">
        <f t="shared" si="7"/>
        <v>0</v>
      </c>
      <c r="AC22" s="43">
        <f t="shared" si="8"/>
        <v>0</v>
      </c>
      <c r="AD22" s="43">
        <f t="shared" si="14"/>
        <v>1.8</v>
      </c>
      <c r="AE22" s="43">
        <f t="shared" si="9"/>
        <v>0</v>
      </c>
      <c r="AF22" s="46">
        <f t="shared" si="15"/>
        <v>0</v>
      </c>
      <c r="AG22" s="46">
        <f t="shared" si="16"/>
        <v>0</v>
      </c>
      <c r="AH22" s="47">
        <f>IF(C22="",0,IF(C22=Constants!$B$105,8.2,9))</f>
        <v>0</v>
      </c>
      <c r="AI22" s="48">
        <f t="shared" si="17"/>
        <v>0</v>
      </c>
      <c r="AJ22" s="49">
        <f t="shared" si="10"/>
        <v>0</v>
      </c>
      <c r="AK22" s="102"/>
    </row>
    <row r="23" spans="1:37" ht="13.3" thickTop="1" thickBot="1" x14ac:dyDescent="0.35">
      <c r="A23" s="40">
        <v>19</v>
      </c>
      <c r="B23" s="253"/>
      <c r="C23" s="254"/>
      <c r="D23" s="255"/>
      <c r="E23" s="255"/>
      <c r="F23" s="255"/>
      <c r="G23" s="255"/>
      <c r="H23" s="255"/>
      <c r="I23" s="256"/>
      <c r="J23" s="51"/>
      <c r="K23" s="56"/>
      <c r="L23" s="256"/>
      <c r="M23" s="56"/>
      <c r="N23" s="256"/>
      <c r="O23" s="56"/>
      <c r="P23" s="256"/>
      <c r="Q23" s="257"/>
      <c r="R23" s="177" t="str">
        <f t="shared" si="11"/>
        <v/>
      </c>
      <c r="S23" s="47">
        <f t="shared" si="12"/>
        <v>0</v>
      </c>
      <c r="T23" s="41">
        <f t="shared" si="1"/>
        <v>0</v>
      </c>
      <c r="U23" s="41">
        <f t="shared" si="2"/>
        <v>0</v>
      </c>
      <c r="V23" s="41">
        <f t="shared" si="3"/>
        <v>0</v>
      </c>
      <c r="W23" s="41">
        <f t="shared" si="4"/>
        <v>0</v>
      </c>
      <c r="X23" s="42">
        <f t="shared" si="18"/>
        <v>0</v>
      </c>
      <c r="Y23" s="42">
        <f t="shared" si="5"/>
        <v>0</v>
      </c>
      <c r="Z23" s="43">
        <f t="shared" si="6"/>
        <v>0</v>
      </c>
      <c r="AA23" s="44">
        <f t="shared" si="13"/>
        <v>1</v>
      </c>
      <c r="AB23" s="45">
        <f t="shared" si="7"/>
        <v>0</v>
      </c>
      <c r="AC23" s="43">
        <f t="shared" si="8"/>
        <v>0</v>
      </c>
      <c r="AD23" s="43">
        <f t="shared" si="14"/>
        <v>1.8</v>
      </c>
      <c r="AE23" s="43">
        <f t="shared" si="9"/>
        <v>0</v>
      </c>
      <c r="AF23" s="46">
        <f t="shared" si="15"/>
        <v>0</v>
      </c>
      <c r="AG23" s="46">
        <f t="shared" si="16"/>
        <v>0</v>
      </c>
      <c r="AH23" s="47">
        <f>IF(C23="",0,IF(C23=Constants!$B$105,8.2,9))</f>
        <v>0</v>
      </c>
      <c r="AI23" s="48">
        <f t="shared" si="17"/>
        <v>0</v>
      </c>
      <c r="AJ23" s="49">
        <f t="shared" si="10"/>
        <v>0</v>
      </c>
      <c r="AK23" s="102"/>
    </row>
    <row r="24" spans="1:37" ht="13.3" thickTop="1" thickBot="1" x14ac:dyDescent="0.35">
      <c r="A24" s="40">
        <v>20</v>
      </c>
      <c r="B24" s="253"/>
      <c r="C24" s="254"/>
      <c r="D24" s="255"/>
      <c r="E24" s="255"/>
      <c r="F24" s="255"/>
      <c r="G24" s="255"/>
      <c r="H24" s="255"/>
      <c r="I24" s="256"/>
      <c r="J24" s="51"/>
      <c r="K24" s="56"/>
      <c r="L24" s="256"/>
      <c r="M24" s="56"/>
      <c r="N24" s="256"/>
      <c r="O24" s="56"/>
      <c r="P24" s="256"/>
      <c r="Q24" s="257"/>
      <c r="R24" s="177" t="str">
        <f t="shared" si="11"/>
        <v/>
      </c>
      <c r="S24" s="47">
        <f t="shared" ref="S24:S34" si="19">IF(OR(G24=0,G24=""),(D24*E24),G24)</f>
        <v>0</v>
      </c>
      <c r="T24" s="41">
        <f t="shared" si="1"/>
        <v>0</v>
      </c>
      <c r="U24" s="41">
        <f t="shared" si="2"/>
        <v>0</v>
      </c>
      <c r="V24" s="41">
        <f t="shared" si="3"/>
        <v>0</v>
      </c>
      <c r="W24" s="41">
        <f t="shared" si="4"/>
        <v>0</v>
      </c>
      <c r="X24" s="42">
        <f t="shared" ref="X24:X34" si="20">IF(S24=0,0,T24/S24)</f>
        <v>0</v>
      </c>
      <c r="Y24" s="42">
        <f t="shared" si="5"/>
        <v>0</v>
      </c>
      <c r="Z24" s="43">
        <f t="shared" si="6"/>
        <v>0</v>
      </c>
      <c r="AA24" s="44">
        <f t="shared" ref="AA24:AA34" si="21">IF(T24=0,1,0.7/U24)</f>
        <v>1</v>
      </c>
      <c r="AB24" s="45">
        <f t="shared" si="7"/>
        <v>0</v>
      </c>
      <c r="AC24" s="43">
        <f t="shared" si="8"/>
        <v>0</v>
      </c>
      <c r="AD24" s="43">
        <f t="shared" ref="AD24:AD34" si="22">ROUND(IF((F24-V24)&lt;2,1.8,0.8+(0.2/(F24-V24-1.8))),2)</f>
        <v>1.8</v>
      </c>
      <c r="AE24" s="43">
        <f t="shared" si="9"/>
        <v>0</v>
      </c>
      <c r="AF24" s="46">
        <f t="shared" ref="AF24:AF34" si="23">MIN(11,2*Z24*AA24*AB24*AC24*MAX(AD24,AE24))</f>
        <v>0</v>
      </c>
      <c r="AG24" s="46">
        <f t="shared" si="16"/>
        <v>0</v>
      </c>
      <c r="AH24" s="47">
        <f>IF(C24="",0,IF(C24=Constants!$B$105,8.2,9))</f>
        <v>0</v>
      </c>
      <c r="AI24" s="48">
        <f t="shared" ref="AI24:AI34" si="24">MIN(11-AG24,AH24)</f>
        <v>0</v>
      </c>
      <c r="AJ24" s="49">
        <f t="shared" si="10"/>
        <v>0</v>
      </c>
      <c r="AK24" s="102"/>
    </row>
    <row r="25" spans="1:37" ht="13.3" thickTop="1" thickBot="1" x14ac:dyDescent="0.35">
      <c r="A25" s="40">
        <v>21</v>
      </c>
      <c r="B25" s="253"/>
      <c r="C25" s="254"/>
      <c r="D25" s="255"/>
      <c r="E25" s="255"/>
      <c r="F25" s="255"/>
      <c r="G25" s="255"/>
      <c r="H25" s="255"/>
      <c r="I25" s="256"/>
      <c r="J25" s="51"/>
      <c r="K25" s="56"/>
      <c r="L25" s="256"/>
      <c r="M25" s="56"/>
      <c r="N25" s="256"/>
      <c r="O25" s="56"/>
      <c r="P25" s="256"/>
      <c r="Q25" s="257"/>
      <c r="R25" s="177" t="str">
        <f t="shared" si="11"/>
        <v/>
      </c>
      <c r="S25" s="47">
        <f t="shared" si="19"/>
        <v>0</v>
      </c>
      <c r="T25" s="41">
        <f t="shared" si="1"/>
        <v>0</v>
      </c>
      <c r="U25" s="41">
        <f t="shared" si="2"/>
        <v>0</v>
      </c>
      <c r="V25" s="41">
        <f t="shared" si="3"/>
        <v>0</v>
      </c>
      <c r="W25" s="41">
        <f t="shared" si="4"/>
        <v>0</v>
      </c>
      <c r="X25" s="42">
        <f t="shared" si="20"/>
        <v>0</v>
      </c>
      <c r="Y25" s="42">
        <f t="shared" si="5"/>
        <v>0</v>
      </c>
      <c r="Z25" s="43">
        <f t="shared" si="6"/>
        <v>0</v>
      </c>
      <c r="AA25" s="44">
        <f t="shared" si="21"/>
        <v>1</v>
      </c>
      <c r="AB25" s="45">
        <f t="shared" si="7"/>
        <v>0</v>
      </c>
      <c r="AC25" s="43">
        <f t="shared" si="8"/>
        <v>0</v>
      </c>
      <c r="AD25" s="43">
        <f t="shared" si="22"/>
        <v>1.8</v>
      </c>
      <c r="AE25" s="43">
        <f t="shared" si="9"/>
        <v>0</v>
      </c>
      <c r="AF25" s="46">
        <f t="shared" si="23"/>
        <v>0</v>
      </c>
      <c r="AG25" s="46">
        <f t="shared" si="16"/>
        <v>0</v>
      </c>
      <c r="AH25" s="47">
        <f>IF(C25="",0,IF(C25=Constants!$B$105,8.2,9))</f>
        <v>0</v>
      </c>
      <c r="AI25" s="48">
        <f t="shared" si="24"/>
        <v>0</v>
      </c>
      <c r="AJ25" s="49">
        <f t="shared" si="10"/>
        <v>0</v>
      </c>
      <c r="AK25" s="102"/>
    </row>
    <row r="26" spans="1:37" ht="13.3" thickTop="1" thickBot="1" x14ac:dyDescent="0.35">
      <c r="A26" s="40">
        <v>22</v>
      </c>
      <c r="B26" s="253"/>
      <c r="C26" s="254"/>
      <c r="D26" s="255"/>
      <c r="E26" s="255"/>
      <c r="F26" s="255"/>
      <c r="G26" s="255"/>
      <c r="H26" s="255"/>
      <c r="I26" s="256"/>
      <c r="J26" s="51"/>
      <c r="K26" s="56"/>
      <c r="L26" s="256"/>
      <c r="M26" s="56"/>
      <c r="N26" s="256"/>
      <c r="O26" s="56"/>
      <c r="P26" s="256"/>
      <c r="Q26" s="257"/>
      <c r="R26" s="177" t="str">
        <f t="shared" si="11"/>
        <v/>
      </c>
      <c r="S26" s="47">
        <f t="shared" si="19"/>
        <v>0</v>
      </c>
      <c r="T26" s="41">
        <f t="shared" si="1"/>
        <v>0</v>
      </c>
      <c r="U26" s="41">
        <f t="shared" si="2"/>
        <v>0</v>
      </c>
      <c r="V26" s="41">
        <f t="shared" si="3"/>
        <v>0</v>
      </c>
      <c r="W26" s="41">
        <f t="shared" si="4"/>
        <v>0</v>
      </c>
      <c r="X26" s="42">
        <f t="shared" si="20"/>
        <v>0</v>
      </c>
      <c r="Y26" s="42">
        <f t="shared" si="5"/>
        <v>0</v>
      </c>
      <c r="Z26" s="43">
        <f t="shared" si="6"/>
        <v>0</v>
      </c>
      <c r="AA26" s="44">
        <f t="shared" si="21"/>
        <v>1</v>
      </c>
      <c r="AB26" s="45">
        <f t="shared" si="7"/>
        <v>0</v>
      </c>
      <c r="AC26" s="43">
        <f t="shared" si="8"/>
        <v>0</v>
      </c>
      <c r="AD26" s="43">
        <f t="shared" si="22"/>
        <v>1.8</v>
      </c>
      <c r="AE26" s="43">
        <f t="shared" si="9"/>
        <v>0</v>
      </c>
      <c r="AF26" s="46">
        <f t="shared" si="23"/>
        <v>0</v>
      </c>
      <c r="AG26" s="46">
        <f t="shared" si="16"/>
        <v>0</v>
      </c>
      <c r="AH26" s="47">
        <f>IF(C26="",0,IF(C26=Constants!$B$105,8.2,9))</f>
        <v>0</v>
      </c>
      <c r="AI26" s="48">
        <f t="shared" si="24"/>
        <v>0</v>
      </c>
      <c r="AJ26" s="49">
        <f t="shared" si="10"/>
        <v>0</v>
      </c>
      <c r="AK26" s="102"/>
    </row>
    <row r="27" spans="1:37" ht="13.3" thickTop="1" thickBot="1" x14ac:dyDescent="0.35">
      <c r="A27" s="40">
        <v>23</v>
      </c>
      <c r="B27" s="253"/>
      <c r="C27" s="254"/>
      <c r="D27" s="255"/>
      <c r="E27" s="255"/>
      <c r="F27" s="255"/>
      <c r="G27" s="255"/>
      <c r="H27" s="255"/>
      <c r="I27" s="256"/>
      <c r="J27" s="51"/>
      <c r="K27" s="56"/>
      <c r="L27" s="256"/>
      <c r="M27" s="56"/>
      <c r="N27" s="256"/>
      <c r="O27" s="56"/>
      <c r="P27" s="256"/>
      <c r="Q27" s="257"/>
      <c r="R27" s="177" t="str">
        <f t="shared" si="11"/>
        <v/>
      </c>
      <c r="S27" s="47">
        <f t="shared" si="19"/>
        <v>0</v>
      </c>
      <c r="T27" s="41">
        <f t="shared" si="1"/>
        <v>0</v>
      </c>
      <c r="U27" s="41">
        <f t="shared" si="2"/>
        <v>0</v>
      </c>
      <c r="V27" s="41">
        <f t="shared" si="3"/>
        <v>0</v>
      </c>
      <c r="W27" s="41">
        <f t="shared" si="4"/>
        <v>0</v>
      </c>
      <c r="X27" s="42">
        <f t="shared" si="20"/>
        <v>0</v>
      </c>
      <c r="Y27" s="42">
        <f t="shared" si="5"/>
        <v>0</v>
      </c>
      <c r="Z27" s="43">
        <f t="shared" si="6"/>
        <v>0</v>
      </c>
      <c r="AA27" s="44">
        <f t="shared" si="21"/>
        <v>1</v>
      </c>
      <c r="AB27" s="45">
        <f t="shared" si="7"/>
        <v>0</v>
      </c>
      <c r="AC27" s="43">
        <f t="shared" si="8"/>
        <v>0</v>
      </c>
      <c r="AD27" s="43">
        <f t="shared" si="22"/>
        <v>1.8</v>
      </c>
      <c r="AE27" s="43">
        <f t="shared" si="9"/>
        <v>0</v>
      </c>
      <c r="AF27" s="46">
        <f t="shared" si="23"/>
        <v>0</v>
      </c>
      <c r="AG27" s="46">
        <f t="shared" si="16"/>
        <v>0</v>
      </c>
      <c r="AH27" s="47">
        <f>IF(C27="",0,IF(C27=Constants!$B$105,8.2,9))</f>
        <v>0</v>
      </c>
      <c r="AI27" s="48">
        <f t="shared" si="24"/>
        <v>0</v>
      </c>
      <c r="AJ27" s="49">
        <f t="shared" si="10"/>
        <v>0</v>
      </c>
      <c r="AK27" s="102"/>
    </row>
    <row r="28" spans="1:37" ht="13.3" thickTop="1" thickBot="1" x14ac:dyDescent="0.35">
      <c r="A28" s="40">
        <v>24</v>
      </c>
      <c r="B28" s="253"/>
      <c r="C28" s="254"/>
      <c r="D28" s="255"/>
      <c r="E28" s="255"/>
      <c r="F28" s="255"/>
      <c r="G28" s="255"/>
      <c r="H28" s="255"/>
      <c r="I28" s="256"/>
      <c r="J28" s="51"/>
      <c r="K28" s="56"/>
      <c r="L28" s="256"/>
      <c r="M28" s="56"/>
      <c r="N28" s="256"/>
      <c r="O28" s="56"/>
      <c r="P28" s="256"/>
      <c r="Q28" s="257"/>
      <c r="R28" s="177" t="str">
        <f t="shared" si="11"/>
        <v/>
      </c>
      <c r="S28" s="47">
        <f t="shared" si="19"/>
        <v>0</v>
      </c>
      <c r="T28" s="41">
        <f t="shared" si="1"/>
        <v>0</v>
      </c>
      <c r="U28" s="41">
        <f t="shared" si="2"/>
        <v>0</v>
      </c>
      <c r="V28" s="41">
        <f t="shared" si="3"/>
        <v>0</v>
      </c>
      <c r="W28" s="41">
        <f t="shared" si="4"/>
        <v>0</v>
      </c>
      <c r="X28" s="42">
        <f t="shared" si="20"/>
        <v>0</v>
      </c>
      <c r="Y28" s="42">
        <f t="shared" si="5"/>
        <v>0</v>
      </c>
      <c r="Z28" s="43">
        <f t="shared" si="6"/>
        <v>0</v>
      </c>
      <c r="AA28" s="44">
        <f t="shared" si="21"/>
        <v>1</v>
      </c>
      <c r="AB28" s="45">
        <f t="shared" si="7"/>
        <v>0</v>
      </c>
      <c r="AC28" s="43">
        <f t="shared" si="8"/>
        <v>0</v>
      </c>
      <c r="AD28" s="43">
        <f t="shared" si="22"/>
        <v>1.8</v>
      </c>
      <c r="AE28" s="43">
        <f t="shared" si="9"/>
        <v>0</v>
      </c>
      <c r="AF28" s="46">
        <f t="shared" si="23"/>
        <v>0</v>
      </c>
      <c r="AG28" s="46">
        <f t="shared" si="16"/>
        <v>0</v>
      </c>
      <c r="AH28" s="47">
        <f>IF(C28="",0,IF(C28=Constants!$B$105,8.2,9))</f>
        <v>0</v>
      </c>
      <c r="AI28" s="48">
        <f t="shared" si="24"/>
        <v>0</v>
      </c>
      <c r="AJ28" s="49">
        <f t="shared" si="10"/>
        <v>0</v>
      </c>
      <c r="AK28" s="102"/>
    </row>
    <row r="29" spans="1:37" ht="13.3" thickTop="1" thickBot="1" x14ac:dyDescent="0.35">
      <c r="A29" s="40">
        <v>25</v>
      </c>
      <c r="B29" s="253"/>
      <c r="C29" s="254"/>
      <c r="D29" s="255"/>
      <c r="E29" s="255"/>
      <c r="F29" s="255"/>
      <c r="G29" s="255"/>
      <c r="H29" s="255"/>
      <c r="I29" s="256"/>
      <c r="J29" s="51"/>
      <c r="K29" s="56"/>
      <c r="L29" s="256"/>
      <c r="M29" s="56"/>
      <c r="N29" s="256"/>
      <c r="O29" s="56"/>
      <c r="P29" s="256"/>
      <c r="Q29" s="257"/>
      <c r="R29" s="177" t="str">
        <f t="shared" si="11"/>
        <v/>
      </c>
      <c r="S29" s="47">
        <f t="shared" si="19"/>
        <v>0</v>
      </c>
      <c r="T29" s="41">
        <f t="shared" si="1"/>
        <v>0</v>
      </c>
      <c r="U29" s="41">
        <f t="shared" si="2"/>
        <v>0</v>
      </c>
      <c r="V29" s="41">
        <f t="shared" si="3"/>
        <v>0</v>
      </c>
      <c r="W29" s="41">
        <f t="shared" si="4"/>
        <v>0</v>
      </c>
      <c r="X29" s="42">
        <f t="shared" si="20"/>
        <v>0</v>
      </c>
      <c r="Y29" s="42">
        <f t="shared" si="5"/>
        <v>0</v>
      </c>
      <c r="Z29" s="43">
        <f t="shared" si="6"/>
        <v>0</v>
      </c>
      <c r="AA29" s="44">
        <f t="shared" si="21"/>
        <v>1</v>
      </c>
      <c r="AB29" s="45">
        <f t="shared" si="7"/>
        <v>0</v>
      </c>
      <c r="AC29" s="43">
        <f t="shared" si="8"/>
        <v>0</v>
      </c>
      <c r="AD29" s="43">
        <f t="shared" si="22"/>
        <v>1.8</v>
      </c>
      <c r="AE29" s="43">
        <f t="shared" si="9"/>
        <v>0</v>
      </c>
      <c r="AF29" s="46">
        <f t="shared" si="23"/>
        <v>0</v>
      </c>
      <c r="AG29" s="46">
        <f t="shared" si="16"/>
        <v>0</v>
      </c>
      <c r="AH29" s="47">
        <f>IF(C29="",0,IF(C29=Constants!$B$105,8.2,9))</f>
        <v>0</v>
      </c>
      <c r="AI29" s="48">
        <f t="shared" si="24"/>
        <v>0</v>
      </c>
      <c r="AJ29" s="49">
        <f t="shared" si="10"/>
        <v>0</v>
      </c>
      <c r="AK29" s="102"/>
    </row>
    <row r="30" spans="1:37" ht="13.3" thickTop="1" thickBot="1" x14ac:dyDescent="0.35">
      <c r="A30" s="40">
        <v>26</v>
      </c>
      <c r="B30" s="253"/>
      <c r="C30" s="254"/>
      <c r="D30" s="255"/>
      <c r="E30" s="255"/>
      <c r="F30" s="255"/>
      <c r="G30" s="255"/>
      <c r="H30" s="255"/>
      <c r="I30" s="256"/>
      <c r="J30" s="51"/>
      <c r="K30" s="56"/>
      <c r="L30" s="256"/>
      <c r="M30" s="56"/>
      <c r="N30" s="256"/>
      <c r="O30" s="56"/>
      <c r="P30" s="256"/>
      <c r="Q30" s="257"/>
      <c r="R30" s="177" t="str">
        <f t="shared" si="11"/>
        <v/>
      </c>
      <c r="S30" s="47">
        <f t="shared" si="19"/>
        <v>0</v>
      </c>
      <c r="T30" s="41">
        <f t="shared" si="1"/>
        <v>0</v>
      </c>
      <c r="U30" s="41">
        <f t="shared" si="2"/>
        <v>0</v>
      </c>
      <c r="V30" s="41">
        <f t="shared" si="3"/>
        <v>0</v>
      </c>
      <c r="W30" s="41">
        <f t="shared" si="4"/>
        <v>0</v>
      </c>
      <c r="X30" s="42">
        <f t="shared" si="20"/>
        <v>0</v>
      </c>
      <c r="Y30" s="42">
        <f t="shared" si="5"/>
        <v>0</v>
      </c>
      <c r="Z30" s="43">
        <f t="shared" si="6"/>
        <v>0</v>
      </c>
      <c r="AA30" s="44">
        <f t="shared" si="21"/>
        <v>1</v>
      </c>
      <c r="AB30" s="45">
        <f t="shared" si="7"/>
        <v>0</v>
      </c>
      <c r="AC30" s="43">
        <f t="shared" si="8"/>
        <v>0</v>
      </c>
      <c r="AD30" s="43">
        <f t="shared" si="22"/>
        <v>1.8</v>
      </c>
      <c r="AE30" s="43">
        <f t="shared" si="9"/>
        <v>0</v>
      </c>
      <c r="AF30" s="46">
        <f t="shared" si="23"/>
        <v>0</v>
      </c>
      <c r="AG30" s="46">
        <f t="shared" si="16"/>
        <v>0</v>
      </c>
      <c r="AH30" s="47">
        <f>IF(C30="",0,IF(C30=Constants!$B$105,8.2,9))</f>
        <v>0</v>
      </c>
      <c r="AI30" s="48">
        <f t="shared" si="24"/>
        <v>0</v>
      </c>
      <c r="AJ30" s="49">
        <f t="shared" si="10"/>
        <v>0</v>
      </c>
      <c r="AK30" s="102"/>
    </row>
    <row r="31" spans="1:37" ht="13.3" thickTop="1" thickBot="1" x14ac:dyDescent="0.35">
      <c r="A31" s="40">
        <v>27</v>
      </c>
      <c r="B31" s="253"/>
      <c r="C31" s="254"/>
      <c r="D31" s="255"/>
      <c r="E31" s="255"/>
      <c r="F31" s="255"/>
      <c r="G31" s="255"/>
      <c r="H31" s="255"/>
      <c r="I31" s="256"/>
      <c r="J31" s="51"/>
      <c r="K31" s="56"/>
      <c r="L31" s="256"/>
      <c r="M31" s="56"/>
      <c r="N31" s="256"/>
      <c r="O31" s="56"/>
      <c r="P31" s="256"/>
      <c r="Q31" s="257"/>
      <c r="R31" s="177" t="str">
        <f t="shared" si="11"/>
        <v/>
      </c>
      <c r="S31" s="47">
        <f t="shared" si="19"/>
        <v>0</v>
      </c>
      <c r="T31" s="41">
        <f t="shared" si="1"/>
        <v>0</v>
      </c>
      <c r="U31" s="41">
        <f t="shared" si="2"/>
        <v>0</v>
      </c>
      <c r="V31" s="41">
        <f t="shared" si="3"/>
        <v>0</v>
      </c>
      <c r="W31" s="41">
        <f t="shared" si="4"/>
        <v>0</v>
      </c>
      <c r="X31" s="42">
        <f t="shared" si="20"/>
        <v>0</v>
      </c>
      <c r="Y31" s="42">
        <f t="shared" si="5"/>
        <v>0</v>
      </c>
      <c r="Z31" s="43">
        <f t="shared" si="6"/>
        <v>0</v>
      </c>
      <c r="AA31" s="44">
        <f t="shared" si="21"/>
        <v>1</v>
      </c>
      <c r="AB31" s="45">
        <f t="shared" si="7"/>
        <v>0</v>
      </c>
      <c r="AC31" s="43">
        <f t="shared" si="8"/>
        <v>0</v>
      </c>
      <c r="AD31" s="43">
        <f t="shared" si="22"/>
        <v>1.8</v>
      </c>
      <c r="AE31" s="43">
        <f t="shared" si="9"/>
        <v>0</v>
      </c>
      <c r="AF31" s="46">
        <f t="shared" si="23"/>
        <v>0</v>
      </c>
      <c r="AG31" s="46">
        <f t="shared" si="16"/>
        <v>0</v>
      </c>
      <c r="AH31" s="47">
        <f>IF(C31="",0,IF(C31=Constants!$B$105,8.2,9))</f>
        <v>0</v>
      </c>
      <c r="AI31" s="48">
        <f t="shared" si="24"/>
        <v>0</v>
      </c>
      <c r="AJ31" s="49">
        <f t="shared" si="10"/>
        <v>0</v>
      </c>
      <c r="AK31" s="102"/>
    </row>
    <row r="32" spans="1:37" ht="13.3" thickTop="1" thickBot="1" x14ac:dyDescent="0.35">
      <c r="A32" s="40">
        <v>28</v>
      </c>
      <c r="B32" s="253"/>
      <c r="C32" s="254"/>
      <c r="D32" s="255"/>
      <c r="E32" s="255"/>
      <c r="F32" s="255"/>
      <c r="G32" s="255"/>
      <c r="H32" s="255"/>
      <c r="I32" s="256"/>
      <c r="J32" s="51"/>
      <c r="K32" s="56"/>
      <c r="L32" s="256"/>
      <c r="M32" s="56"/>
      <c r="N32" s="256"/>
      <c r="O32" s="56"/>
      <c r="P32" s="256"/>
      <c r="Q32" s="257"/>
      <c r="R32" s="177" t="str">
        <f t="shared" si="11"/>
        <v/>
      </c>
      <c r="S32" s="47">
        <f t="shared" si="19"/>
        <v>0</v>
      </c>
      <c r="T32" s="41">
        <f t="shared" si="1"/>
        <v>0</v>
      </c>
      <c r="U32" s="41">
        <f t="shared" si="2"/>
        <v>0</v>
      </c>
      <c r="V32" s="41">
        <f t="shared" si="3"/>
        <v>0</v>
      </c>
      <c r="W32" s="41">
        <f t="shared" si="4"/>
        <v>0</v>
      </c>
      <c r="X32" s="42">
        <f t="shared" si="20"/>
        <v>0</v>
      </c>
      <c r="Y32" s="42">
        <f t="shared" si="5"/>
        <v>0</v>
      </c>
      <c r="Z32" s="43">
        <f t="shared" si="6"/>
        <v>0</v>
      </c>
      <c r="AA32" s="44">
        <f t="shared" si="21"/>
        <v>1</v>
      </c>
      <c r="AB32" s="45">
        <f t="shared" si="7"/>
        <v>0</v>
      </c>
      <c r="AC32" s="43">
        <f t="shared" si="8"/>
        <v>0</v>
      </c>
      <c r="AD32" s="43">
        <f t="shared" si="22"/>
        <v>1.8</v>
      </c>
      <c r="AE32" s="43">
        <f t="shared" si="9"/>
        <v>0</v>
      </c>
      <c r="AF32" s="46">
        <f t="shared" si="23"/>
        <v>0</v>
      </c>
      <c r="AG32" s="46">
        <f t="shared" si="16"/>
        <v>0</v>
      </c>
      <c r="AH32" s="47">
        <f>IF(C32="",0,IF(C32=Constants!$B$105,8.2,9))</f>
        <v>0</v>
      </c>
      <c r="AI32" s="48">
        <f t="shared" si="24"/>
        <v>0</v>
      </c>
      <c r="AJ32" s="49">
        <f t="shared" si="10"/>
        <v>0</v>
      </c>
      <c r="AK32" s="102"/>
    </row>
    <row r="33" spans="1:37" ht="13.3" thickTop="1" thickBot="1" x14ac:dyDescent="0.35">
      <c r="A33" s="40">
        <v>29</v>
      </c>
      <c r="B33" s="54"/>
      <c r="C33" s="50"/>
      <c r="D33" s="55"/>
      <c r="E33" s="55"/>
      <c r="F33" s="55"/>
      <c r="G33" s="55"/>
      <c r="H33" s="55"/>
      <c r="I33" s="52"/>
      <c r="J33" s="53"/>
      <c r="K33" s="57"/>
      <c r="L33" s="52"/>
      <c r="M33" s="57"/>
      <c r="N33" s="52"/>
      <c r="O33" s="57"/>
      <c r="P33" s="52"/>
      <c r="Q33" s="58"/>
      <c r="R33" s="177" t="str">
        <f t="shared" si="11"/>
        <v/>
      </c>
      <c r="S33" s="47">
        <f t="shared" si="19"/>
        <v>0</v>
      </c>
      <c r="T33" s="41">
        <f t="shared" si="1"/>
        <v>0</v>
      </c>
      <c r="U33" s="41">
        <f t="shared" si="2"/>
        <v>0</v>
      </c>
      <c r="V33" s="41">
        <f t="shared" si="3"/>
        <v>0</v>
      </c>
      <c r="W33" s="41">
        <f t="shared" si="4"/>
        <v>0</v>
      </c>
      <c r="X33" s="42">
        <f t="shared" si="20"/>
        <v>0</v>
      </c>
      <c r="Y33" s="42">
        <f t="shared" si="5"/>
        <v>0</v>
      </c>
      <c r="Z33" s="43">
        <f t="shared" si="6"/>
        <v>0</v>
      </c>
      <c r="AA33" s="44">
        <f t="shared" si="21"/>
        <v>1</v>
      </c>
      <c r="AB33" s="45">
        <f t="shared" si="7"/>
        <v>0</v>
      </c>
      <c r="AC33" s="43">
        <f t="shared" si="8"/>
        <v>0</v>
      </c>
      <c r="AD33" s="43">
        <f t="shared" si="22"/>
        <v>1.8</v>
      </c>
      <c r="AE33" s="43">
        <f t="shared" si="9"/>
        <v>0</v>
      </c>
      <c r="AF33" s="46">
        <f t="shared" si="23"/>
        <v>0</v>
      </c>
      <c r="AG33" s="46">
        <f t="shared" si="16"/>
        <v>0</v>
      </c>
      <c r="AH33" s="47">
        <f>IF(C33="",0,IF(C33=Constants!$B$105,8.2,9))</f>
        <v>0</v>
      </c>
      <c r="AI33" s="48">
        <f t="shared" si="24"/>
        <v>0</v>
      </c>
      <c r="AJ33" s="49">
        <f t="shared" si="10"/>
        <v>0</v>
      </c>
      <c r="AK33" s="102"/>
    </row>
    <row r="34" spans="1:37" ht="13.3" thickTop="1" thickBot="1" x14ac:dyDescent="0.35">
      <c r="A34" s="40">
        <v>30</v>
      </c>
      <c r="B34" s="54"/>
      <c r="C34" s="50"/>
      <c r="D34" s="55"/>
      <c r="E34" s="55"/>
      <c r="F34" s="55"/>
      <c r="G34" s="55"/>
      <c r="H34" s="55"/>
      <c r="I34" s="52"/>
      <c r="J34" s="53"/>
      <c r="K34" s="57"/>
      <c r="L34" s="52"/>
      <c r="M34" s="57"/>
      <c r="N34" s="52"/>
      <c r="O34" s="57"/>
      <c r="P34" s="52"/>
      <c r="Q34" s="58"/>
      <c r="R34" s="177" t="str">
        <f t="shared" si="11"/>
        <v/>
      </c>
      <c r="S34" s="47">
        <f t="shared" si="19"/>
        <v>0</v>
      </c>
      <c r="T34" s="41">
        <f t="shared" si="1"/>
        <v>0</v>
      </c>
      <c r="U34" s="41">
        <f t="shared" si="2"/>
        <v>0</v>
      </c>
      <c r="V34" s="41">
        <f t="shared" si="3"/>
        <v>0</v>
      </c>
      <c r="W34" s="41">
        <f t="shared" si="4"/>
        <v>0</v>
      </c>
      <c r="X34" s="42">
        <f t="shared" si="20"/>
        <v>0</v>
      </c>
      <c r="Y34" s="42">
        <f t="shared" si="5"/>
        <v>0</v>
      </c>
      <c r="Z34" s="43">
        <f t="shared" si="6"/>
        <v>0</v>
      </c>
      <c r="AA34" s="44">
        <f t="shared" si="21"/>
        <v>1</v>
      </c>
      <c r="AB34" s="45">
        <f t="shared" si="7"/>
        <v>0</v>
      </c>
      <c r="AC34" s="43">
        <f t="shared" si="8"/>
        <v>0</v>
      </c>
      <c r="AD34" s="43">
        <f t="shared" si="22"/>
        <v>1.8</v>
      </c>
      <c r="AE34" s="43">
        <f t="shared" si="9"/>
        <v>0</v>
      </c>
      <c r="AF34" s="46">
        <f t="shared" si="23"/>
        <v>0</v>
      </c>
      <c r="AG34" s="46">
        <f t="shared" si="16"/>
        <v>0</v>
      </c>
      <c r="AH34" s="47">
        <f>IF(C34="",0,IF(C34=Constants!$B$105,8.2,9))</f>
        <v>0</v>
      </c>
      <c r="AI34" s="48">
        <f t="shared" si="24"/>
        <v>0</v>
      </c>
      <c r="AJ34" s="49">
        <f t="shared" si="10"/>
        <v>0</v>
      </c>
      <c r="AK34" s="102"/>
    </row>
    <row r="35" spans="1:37" s="31" customFormat="1" ht="19.5" customHeight="1" thickTop="1" x14ac:dyDescent="0.3">
      <c r="A35" s="103"/>
      <c r="B35" s="103"/>
      <c r="C35" s="103"/>
      <c r="D35" s="104"/>
      <c r="E35" s="104"/>
      <c r="F35" s="104"/>
      <c r="G35" s="104"/>
      <c r="H35" s="104"/>
      <c r="I35" s="104"/>
      <c r="J35" s="105"/>
      <c r="K35" s="105"/>
      <c r="L35" s="104"/>
      <c r="M35" s="105"/>
      <c r="N35" s="104"/>
      <c r="O35" s="104"/>
      <c r="P35" s="104"/>
      <c r="Q35" s="106"/>
      <c r="R35" s="106"/>
      <c r="S35" s="106"/>
      <c r="T35" s="106"/>
      <c r="U35" s="106"/>
      <c r="V35" s="106"/>
      <c r="W35" s="106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3"/>
      <c r="AI35" s="103"/>
      <c r="AJ35" s="103"/>
      <c r="AK35" s="103"/>
    </row>
    <row r="36" spans="1:37" ht="21" customHeight="1" x14ac:dyDescent="0.3">
      <c r="A36" s="94"/>
      <c r="B36" s="95" t="str">
        <f>VLOOKUP(ADDRESS(ROW(),COLUMN(),4),MatrixTexteT3,2,FALSE)</f>
        <v>Résultats</v>
      </c>
      <c r="C36" s="94"/>
      <c r="D36" s="94"/>
      <c r="E36" s="94"/>
      <c r="F36" s="165" t="str">
        <f>VLOOKUP(ADDRESS(ROW(),COLUMN(),4),MatrixTexteT3,2,FALSE)</f>
        <v>Résultats de cette feuille</v>
      </c>
      <c r="G36" s="96"/>
      <c r="H36" s="94"/>
      <c r="I36" s="97"/>
      <c r="J36" s="165" t="str">
        <f>VLOOKUP(ADDRESS(ROW(),COLUMN(),4),MatrixTexteT3,2,FALSE)</f>
        <v>Report d'un autre justificatif</v>
      </c>
      <c r="K36" s="96"/>
      <c r="L36" s="96"/>
      <c r="M36" s="98"/>
      <c r="N36" s="165" t="str">
        <f>VLOOKUP(ADDRESS(ROW(),COLUMN(),4),MatrixTexteT3,2,FALSE)</f>
        <v>Résultats globales</v>
      </c>
      <c r="O36" s="96"/>
      <c r="P36" s="96"/>
      <c r="Q36" s="96"/>
      <c r="R36" s="98"/>
      <c r="S36" s="165" t="s">
        <v>1093</v>
      </c>
      <c r="AJ36" s="264" t="s">
        <v>1093</v>
      </c>
      <c r="AK36" s="102"/>
    </row>
    <row r="37" spans="1:37" ht="15" customHeight="1" thickBot="1" x14ac:dyDescent="0.35">
      <c r="A37" s="32"/>
      <c r="B37" s="33" t="str">
        <f>VLOOKUP(ADDRESS(ROW(),COLUMN(),4),MatrixTexteT3,2,FALSE)</f>
        <v>Déscription</v>
      </c>
      <c r="C37" s="32"/>
      <c r="D37" s="32"/>
      <c r="E37" s="32"/>
      <c r="F37" s="289" t="str">
        <f>VLOOKUP(ADDRESS(ROW(),COLUMN(),4),MatrixTexteT3,2,FALSE)</f>
        <v>Surface nette</v>
      </c>
      <c r="G37" s="290"/>
      <c r="H37" s="291" t="str">
        <f>VLOOKUP(ADDRESS(ROW(),COLUMN(),4),MatrixTexteT3,2,FALSE)</f>
        <v>Résultat</v>
      </c>
      <c r="I37" s="292"/>
      <c r="J37" s="289" t="str">
        <f>VLOOKUP(ADDRESS(ROW(),COLUMN(),4),MatrixTexteT3,2,FALSE)</f>
        <v>Surface nette</v>
      </c>
      <c r="K37" s="290"/>
      <c r="L37" s="291" t="str">
        <f>VLOOKUP(ADDRESS(ROW(),COLUMN(),4),MatrixTexteT3,2,FALSE)</f>
        <v>Résultat</v>
      </c>
      <c r="M37" s="292"/>
      <c r="N37" s="293" t="str">
        <f>VLOOKUP(ADDRESS(ROW(),COLUMN(),4),MatrixTexteT3,2,FALSE)</f>
        <v>Surface nette</v>
      </c>
      <c r="O37" s="293"/>
      <c r="P37" s="294" t="str">
        <f>VLOOKUP(ADDRESS(ROW(),COLUMN(),4),MatrixTexteT3,2,FALSE)</f>
        <v>Résultat</v>
      </c>
      <c r="Q37" s="295"/>
      <c r="R37" s="98"/>
      <c r="S37" s="234" t="s">
        <v>131</v>
      </c>
      <c r="AJ37" s="234" t="s">
        <v>138</v>
      </c>
      <c r="AK37" s="102"/>
    </row>
    <row r="38" spans="1:37" ht="16.5" customHeight="1" thickTop="1" thickBot="1" x14ac:dyDescent="0.35">
      <c r="A38" s="59"/>
      <c r="B38" s="85" t="str">
        <f>IF(Nutzung&lt;&gt;0,VLOOKUP(ADDRESS(ROW(),COLUMN(),4),MatrixTexteT3,2,FALSE)&amp;" (min. "&amp;TEXT(VLOOKUP(Nutzung,MatrixNutzung,2,FALSE),"0%")&amp;")",VLOOKUP(ADDRESS(ROW(),COLUMN(),4),MatrixTexteT3,2,FALSE))</f>
        <v>Degré total d'autonomie en lumière du jour sur l'ensemble des locaux</v>
      </c>
      <c r="C38" s="60"/>
      <c r="D38" s="60"/>
      <c r="E38" s="60"/>
      <c r="F38" s="88">
        <f>S38</f>
        <v>0</v>
      </c>
      <c r="G38" s="85" t="s">
        <v>136</v>
      </c>
      <c r="H38" s="172">
        <f>AJ38</f>
        <v>0</v>
      </c>
      <c r="I38" s="90" t="s">
        <v>138</v>
      </c>
      <c r="J38" s="166"/>
      <c r="K38" s="85" t="s">
        <v>136</v>
      </c>
      <c r="L38" s="166"/>
      <c r="M38" s="90" t="s">
        <v>138</v>
      </c>
      <c r="N38" s="92">
        <f>F38+J38</f>
        <v>0</v>
      </c>
      <c r="O38" s="85" t="s">
        <v>136</v>
      </c>
      <c r="P38" s="100">
        <f>IF(F38=0,0,(F38*H38+J38*L38)/N38)</f>
        <v>0</v>
      </c>
      <c r="Q38" s="85" t="s">
        <v>138</v>
      </c>
      <c r="R38" s="90"/>
      <c r="S38" s="235">
        <f>SUMPRODUCT(S5:S34*H5:H34)</f>
        <v>0</v>
      </c>
      <c r="AJ38" s="237">
        <f>IF(S38=0,0,(SUMPRODUCT(S5:S34*H5:H34*AJ5:AJ34)/S38)*100)</f>
        <v>0</v>
      </c>
      <c r="AK38" s="102"/>
    </row>
    <row r="39" spans="1:37" ht="16.5" customHeight="1" thickTop="1" thickBot="1" x14ac:dyDescent="0.35">
      <c r="A39" s="59"/>
      <c r="B39" s="85" t="str">
        <f>IF(Bauvorhaben&lt;&gt;0,VLOOKUP(ADDRESS(ROW(),COLUMN(),4),MatrixTexteT3,2,FALSE)&amp;" (max. "&amp;TEXT(VLOOKUP(Bauvorhaben,MatrixBauvorhaben,2,FALSE),"0%")&amp;")",VLOOKUP(ADDRESS(ROW(),COLUMN(),4),MatrixTexteT3,2,FALSE))</f>
        <v>Part de surface avec un résultat insuffisant</v>
      </c>
      <c r="C39" s="60"/>
      <c r="D39" s="60"/>
      <c r="E39" s="60"/>
      <c r="F39" s="89">
        <f>S39</f>
        <v>0</v>
      </c>
      <c r="G39" s="61" t="s">
        <v>136</v>
      </c>
      <c r="H39" s="173">
        <f>IF(F38=0,0,F39/F38*100)</f>
        <v>0</v>
      </c>
      <c r="I39" s="91" t="s">
        <v>138</v>
      </c>
      <c r="J39" s="167"/>
      <c r="K39" s="61" t="s">
        <v>136</v>
      </c>
      <c r="L39" s="99"/>
      <c r="M39" s="91"/>
      <c r="N39" s="93">
        <f>F39+J39</f>
        <v>0</v>
      </c>
      <c r="O39" s="61" t="s">
        <v>136</v>
      </c>
      <c r="P39" s="101">
        <f>IF(F38=0,0,N39/N38*100)</f>
        <v>0</v>
      </c>
      <c r="Q39" s="61" t="s">
        <v>138</v>
      </c>
      <c r="R39" s="91"/>
      <c r="S39" s="236" cm="1">
        <f t="array" ref="S39">IF(AND(Nutzung&lt;&gt;0,SummeRaumflaeche&lt;&gt;0),SUMPRODUCT((AJ5:AJ34&lt;VLOOKUP(Nutzung,MatrixNutzung,2,FALSE))*S5:S34*H5:H34),0)</f>
        <v>0</v>
      </c>
      <c r="AK39" s="102"/>
    </row>
    <row r="40" spans="1:37" ht="25.5" customHeight="1" thickTop="1" thickBot="1" x14ac:dyDescent="0.4">
      <c r="A40" s="183"/>
      <c r="B40" s="184" t="str">
        <f>VLOOKUP(ADDRESS(ROW(),COLUMN(),4),MatrixTexteT3,2,FALSE)</f>
        <v>Les exigences du complément ECO</v>
      </c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288" t="str">
        <f>IF(AND(Bauvorhaben&lt;&gt;0,Nutzung&lt;&gt;0),IF(AND((P38/100)&gt;=(VLOOKUP(Nutzung,MatrixNutzung,3,FALSE)),(P39/100)&lt;=(VLOOKUP(Bauvorhaben,MatrixBauvorhaben,2,FALSE))),Texte!$B$219,IF(AND((P38/100)&gt;=(VLOOKUP(Nutzung,MatrixNutzung,2,FALSE)),(P39/100)&lt;=(VLOOKUP(Bauvorhaben,MatrixBauvorhaben,2,FALSE))),Texte!$B$220,Texte!$B$221)),Texte!$B$221)</f>
        <v>ne sont pas remplies</v>
      </c>
      <c r="O40" s="288"/>
      <c r="P40" s="288"/>
      <c r="Q40" s="288"/>
      <c r="R40" s="288"/>
      <c r="S40" s="233"/>
      <c r="AK40" s="102"/>
    </row>
    <row r="41" spans="1:37" ht="12.9" thickTop="1" x14ac:dyDescent="0.3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</row>
    <row r="42" spans="1:37" x14ac:dyDescent="0.3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</row>
  </sheetData>
  <sheetProtection algorithmName="SHA-512" hashValue="Hf3J4PtMv5Aekr04Do+R8VEp5tvwu6ZkttgIYOjiFeDnzfltsHgb4VxwumeBijRQbV0ayKyhLhJXCCkHVdgaBw==" saltValue="gdXbpMvmK6wO+/9DS9AFwA==" spinCount="100000" sheet="1" objects="1" scenarios="1"/>
  <mergeCells count="12">
    <mergeCell ref="AH3:AJ3"/>
    <mergeCell ref="N40:R40"/>
    <mergeCell ref="D3:I3"/>
    <mergeCell ref="J3:Q3"/>
    <mergeCell ref="X3:AG3"/>
    <mergeCell ref="F37:G37"/>
    <mergeCell ref="H37:I37"/>
    <mergeCell ref="J37:K37"/>
    <mergeCell ref="L37:M37"/>
    <mergeCell ref="N37:O37"/>
    <mergeCell ref="P37:Q37"/>
    <mergeCell ref="S3:W3"/>
  </mergeCells>
  <phoneticPr fontId="0" type="noConversion"/>
  <conditionalFormatting sqref="R5:R34">
    <cfRule type="expression" dxfId="10" priority="14" stopIfTrue="1">
      <formula>$AJ5=0</formula>
    </cfRule>
    <cfRule type="expression" dxfId="9" priority="15" stopIfTrue="1">
      <formula>$AJ5&lt;Befriedigend</formula>
    </cfRule>
    <cfRule type="expression" dxfId="8" priority="16" stopIfTrue="1">
      <formula>$AJ5&gt;Gut</formula>
    </cfRule>
    <cfRule type="expression" dxfId="7" priority="17" stopIfTrue="1">
      <formula>AND($AJ5&gt;=Befriedigend,$AJ5&lt;Gut)</formula>
    </cfRule>
  </conditionalFormatting>
  <dataValidations xWindow="514" yWindow="461" count="481"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34" xr:uid="{00000000-0002-0000-0200-000000000000}">
      <formula1>ListWindow</formula1>
    </dataValidation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34" xr:uid="{00000000-0002-0000-0200-000001000000}"/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34" xr:uid="{00000000-0002-0000-0200-000002000000}">
      <formula1>ListBeleuchtung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34" xr:uid="{00000000-0002-0000-0200-000003000000}">
      <formula1>ListRaumReflex</formula1>
    </dataValidation>
    <dataValidation allowBlank="1" showInputMessage="1" sqref="R5:R34" xr:uid="{00000000-0002-0000-0200-000004000000}"/>
    <dataValidation type="whole" allowBlank="1" showInputMessage="1" showErrorMessage="1" errorTitle="Erreur" error="Vous devez saisir des valeurs entières entre 0 et 999." promptTitle="Nombre" prompt="Entrez le nombre de fenêtres de ce type." sqref="Q34" xr:uid="{00000000-0002-0000-0200-000005000000}">
      <formula1>0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34" xr:uid="{00000000-0002-0000-0200-000006000000}">
      <formula1>-99</formula1>
      <formula2>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34" xr:uid="{00000000-0002-0000-0200-000007000000}">
      <formula1>0</formula1>
      <formula2>99999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34" xr:uid="{00000000-0002-0000-0200-000008000000}">
      <formula1>0</formula1>
      <formula2>99</formula2>
    </dataValidation>
    <dataValidation type="decimal" allowBlank="1" showInputMessage="1" showErrorMessage="1" errorTitle="Erreur" error="Vous devez saisir des valeurs entre 0 et 999." promptTitle="Profondeur" prompt="Entrez les dimensions du local." sqref="E34" xr:uid="{00000000-0002-0000-0200-000009000000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34" xr:uid="{00000000-0002-0000-0200-00000A000000}">
      <formula1>0</formula1>
      <formula2>999</formula2>
    </dataValidation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5" xr:uid="{89D34735-5302-419F-AEBB-339E2CBB6117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6" xr:uid="{5FAFB90B-E1DB-4E49-A865-EF06B57E4F19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7" xr:uid="{4AD28692-4FC9-481B-9E81-92BEFB8D3C57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8" xr:uid="{E33F180F-4517-42EF-A8E9-51D0409167EE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9" xr:uid="{46CA2FCE-2DDA-4061-ACC4-F3DBDCAB7400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0" xr:uid="{D16DEF05-3ECC-4369-ADF7-9DF117CA0E33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1" xr:uid="{BFB8F1D3-4C23-489F-9535-747D762F3FCC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2" xr:uid="{9BAD0003-A5BE-4485-A4CA-8EA0A7B1EC2F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3" xr:uid="{0C186A72-EA7A-4C4A-8D11-C2AB6E6AD6D9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4" xr:uid="{66B75473-9916-4C87-8E98-F8372C89401D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5" xr:uid="{975DD43A-8B93-4F91-B98E-1D7621039F96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6" xr:uid="{F55367E1-6BAA-4915-8D83-0FC10A278597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7" xr:uid="{C6EAA42D-927A-4142-AB1E-31CAF75DDC88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8" xr:uid="{04C96B3A-2218-4996-B1DE-61893E489243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19" xr:uid="{44C6881E-0331-4672-80D7-87A9FEC1A714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0" xr:uid="{8DF20349-21C1-47AF-B29D-0753BCEAC88D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1" xr:uid="{D0BDAAFC-EC42-49A9-9B91-6283E97AA733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2" xr:uid="{8E69074F-6EAF-4549-B483-EA3886C776E8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3" xr:uid="{7C6BF9A0-7F82-4CBB-A5DD-BEAF869678F8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4" xr:uid="{E327F2AD-60BC-4905-B520-122BA7E755AD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5" xr:uid="{D3B434C9-52D7-475B-8CBF-B0A0FCFF4D63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6" xr:uid="{C2D49BB8-132A-4E41-914B-C495A075A494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7" xr:uid="{717322B4-2EAF-4913-85BD-A0C182DC3B9A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8" xr:uid="{990CA3E1-027B-4529-8216-44E2908F7F2B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29" xr:uid="{4A3F1FA6-9B5B-4BCC-A9C3-F1817BE17A0F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30" xr:uid="{78ED8E82-9D87-4444-81E1-91B13AC2662D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31" xr:uid="{6C92FBA3-F3DD-44A3-8643-B5D4805BE593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32" xr:uid="{050EDDF4-43AB-4093-A00B-610555A9CD1D}"/>
    <dataValidation allowBlank="1" showInputMessage="1" showErrorMessage="1" errorTitle="Erreur" error="Veuillez saisir uniquement du texte dans cette cellule." promptTitle="Local typique" prompt="Entrez la description du local ici. Les locaux d'utilisation secondaire ne doivent pas être saisis._x000a_" sqref="B33" xr:uid="{22D720D0-27FF-4028-B9B7-92A983A990F5}"/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5" xr:uid="{A922912D-1977-423E-B4E3-5B65FE5E9EC7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6" xr:uid="{B40444AD-0A2A-40BC-AADD-F3291F143F76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7" xr:uid="{3F3750D6-63CD-499F-A002-C796748E98C1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8" xr:uid="{45699252-F892-4AA7-915A-3803E00A7B76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9" xr:uid="{BC910EBE-4341-4BD7-A756-BD3254092716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0" xr:uid="{11873443-8B59-4E9C-8869-4BC534C059D1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1" xr:uid="{CD76A752-B103-4002-98AD-104411679399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2" xr:uid="{521FDAF9-671E-4755-84E6-5D80F8105683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3" xr:uid="{49678FB3-3382-4DB5-AC82-9FFDC59B363E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4" xr:uid="{399CF853-0492-4F7D-9C7D-C1CE343776F0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5" xr:uid="{D3BBD2F4-52A7-4DBA-9000-0D176441E57B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6" xr:uid="{A9513617-72AC-45E1-9D40-146602D47345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7" xr:uid="{BAAC79C4-3D57-43B0-8323-AAD0DC9E9098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8" xr:uid="{5B77288D-7092-46A3-9B6C-2182EB4D4F7A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19" xr:uid="{F7F2A711-B1EE-4F95-801C-DD2BCF67D3F9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0" xr:uid="{7204D6AB-7EF2-46C8-9508-7F96D984A0AC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1" xr:uid="{E9CB4F09-32B8-4258-A2F9-5F949EA54EE8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2" xr:uid="{E60E2699-F52A-426D-BC7A-6D52C94AB8D0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3" xr:uid="{D1E5577F-B1AF-4570-9C98-44AFB77564EE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4" xr:uid="{4DB2E6C8-F2A6-42E8-B5E8-BC788F3DF7B2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5" xr:uid="{C3F65A81-8393-45CE-93CC-E794C5CF3716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6" xr:uid="{2717E520-CFAB-44FB-ACED-1DCCF90A9571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7" xr:uid="{D7A87CA3-2197-479E-AB05-D612720C5B7C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8" xr:uid="{90510D2D-3B4B-4379-AB66-90FCED1E6747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29" xr:uid="{25E8B6C7-67BF-4562-8EBB-7ECC818CD6D8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30" xr:uid="{F8733635-7F8E-4261-8A67-7F799BA1417E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31" xr:uid="{D33C5C69-6E28-4494-8590-42A1568FE3E6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32" xr:uid="{FE944B2B-6DA0-40EA-9A12-BA883137D7BA}">
      <formula1>ListBeleuchtung</formula1>
    </dataValidation>
    <dataValidation type="list" allowBlank="1" showInputMessage="1" showErrorMessage="1" errorTitle="Erreur" error="Vous devez sélectionner un élément de la liste." promptTitle="Utilisation principale" prompt="Sélectionnez un élément de la liste qui correspond le mieux à l'utilisation du local. Les locaux d'utilisation secondaire ne doivent pas être saisis." sqref="C33" xr:uid="{8D113A44-B023-4B2D-9C62-D85CF7567E24}">
      <formula1>ListBeleuchtung</formula1>
    </dataValidation>
    <dataValidation type="decimal" allowBlank="1" showInputMessage="1" showErrorMessage="1" errorTitle="Erreur" error="Vous devez saisir des valeurs entre 0 et 999." promptTitle="Longueur" prompt="Entrez les dimensions du local." sqref="D5" xr:uid="{92C42935-CDB9-4CBD-856E-76F33374EBCF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6" xr:uid="{F8ED4D47-C5C8-4283-9CB1-41EF96E49D3F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7" xr:uid="{E93BCA7C-4FEF-452F-942B-EBC4835F4088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8" xr:uid="{BFE4654A-0F3B-47C7-9677-171FEE1DA307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9" xr:uid="{681B4B1E-CC2E-4F8C-8063-ECD26747B6BE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0" xr:uid="{7AD44ECE-A5D2-47C3-B566-D4E2159006C4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1" xr:uid="{9A9C8251-D0EE-40EF-B9A7-5D746EE43334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2" xr:uid="{5C34DD73-BC05-4FEE-8EE9-004670EB0620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3" xr:uid="{4192B836-29FF-4D52-9810-FAF8C77E6393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4" xr:uid="{CA39A503-5D1B-4B3A-9AD5-A03DD04B3853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5" xr:uid="{149FE907-BE00-4B54-BDEE-99B6CFF895E7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6" xr:uid="{9B2132F1-C098-469B-9553-5AF65042B32A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7" xr:uid="{DD8DAC73-B9CB-4420-844A-C10FF31F7273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8" xr:uid="{1F57B3AD-C82D-4CD7-A926-EDC8F269117C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19" xr:uid="{FFC3686C-2C1A-495C-BBF0-A5505AE5E23C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0" xr:uid="{DCB70074-02B2-499E-827A-1555DE4A5F16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1" xr:uid="{636E0A7E-44C0-4338-B5FB-603644F9A2C3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2" xr:uid="{05ACAEAF-831E-4B79-B5D8-835BF0C34194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3" xr:uid="{A9A8AA74-1099-4C3A-836E-BF316C71AF9B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4" xr:uid="{AD634E05-5026-4AAB-9AA4-93C38E7AE3CF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5" xr:uid="{B0EACD48-C7E7-4853-8591-778814DDE04C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6" xr:uid="{EF22B676-4F6D-4BDE-A718-A65859C770F5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7" xr:uid="{9476D4CD-0546-4AED-B1BD-3BA5DA7B47C4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8" xr:uid="{78B64610-3831-4AFC-B685-3E94E522D7D5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29" xr:uid="{72413556-7E7B-417B-A5AA-A111211ABCF0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30" xr:uid="{5F2F172A-BDC6-4DFD-AB2C-9D909201D59C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31" xr:uid="{3962ABD4-063A-494D-AB07-57D7EA91874A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32" xr:uid="{CCDF80A0-7707-42A4-92BA-205B3824FFDB}">
      <formula1>0</formula1>
      <formula2>999</formula2>
    </dataValidation>
    <dataValidation type="decimal" allowBlank="1" showInputMessage="1" showErrorMessage="1" errorTitle="Erreur" error="Vous devez saisir des valeurs entre 0 et 999." promptTitle="Longueur" prompt="Entrez les dimensions du local." sqref="D33" xr:uid="{68D13274-50C8-40D4-8EF5-B1328DA41744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5" xr:uid="{29D88A76-826C-4839-9D5D-B984C64F9F37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6" xr:uid="{B66A04F4-705A-4AFC-B9FD-D69EACFCA0BA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7" xr:uid="{4B19E6CC-ED2C-4479-BDDD-C0F5149B730B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8" xr:uid="{59E7F66D-6271-4CB1-B992-889BD5D1314D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9" xr:uid="{1DDFCC8A-F17F-4B95-91F8-ED63D9EECB3D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0" xr:uid="{85BCB941-3621-4FCD-AAD2-D8E48BA1D565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1" xr:uid="{312A6D49-C4B4-4583-97D7-325DCB792EB8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2" xr:uid="{E88235D8-3EC9-4EF5-BECF-5C1A930BD05A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3" xr:uid="{186B528A-9338-4B06-81CC-16A7D870F441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4" xr:uid="{10CB9ECE-78AF-419D-AA99-50961292C5B1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5" xr:uid="{74ABEAD4-58EA-4357-A12A-E165BADE03EC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6" xr:uid="{DCBC318D-FF25-4FD4-BC76-C2425AD29705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7" xr:uid="{9119A44D-2224-4084-B6B7-4CBA3BA5B4F0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8" xr:uid="{3FA8A7D9-A3BB-4528-B3E7-A4A5012E6A8A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19" xr:uid="{71A80D8D-C854-45B5-8F97-28C510DE09E1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0" xr:uid="{8FAAA212-6B03-4C5D-946A-CE1CD7266752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1" xr:uid="{C76824E6-AF19-488F-9310-2749921C4AAF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2" xr:uid="{3EE04E8C-29BA-41B7-8DD0-CF4E064C5388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3" xr:uid="{06FED560-8591-47BA-A413-7A795FCBD1DB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4" xr:uid="{59EC8EDB-625A-4EAC-8806-5E7235A0740B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5" xr:uid="{B4FEB098-BB2B-41F6-8396-36C19F758680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6" xr:uid="{BCB3677A-2B24-400A-8B8A-C31781F01858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7" xr:uid="{807DFAF8-3916-4E4C-9D4A-462B521413EB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8" xr:uid="{88784B20-B7D3-4360-A5C9-BAFFE0F6E6BC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29" xr:uid="{92147021-6A5F-44A1-BC6C-490F5BE584F5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30" xr:uid="{F24570B6-B901-4B0B-A947-C43740227344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31" xr:uid="{EAFD8D1B-2C9F-499E-8C3C-E59E63940E6C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32" xr:uid="{122DE9C9-D997-4F54-A08B-0C477BAA585D}">
      <formula1>0</formula1>
      <formula2>999</formula2>
    </dataValidation>
    <dataValidation type="decimal" allowBlank="1" showInputMessage="1" showErrorMessage="1" errorTitle="Erreur" error="Vous devez saisir des valeurs entre 0 et 999." promptTitle="Profondeur" prompt="Entrez les dimensions du local." sqref="E33" xr:uid="{5844C90A-04FB-46F7-BA50-1707696ED247}">
      <formula1>0</formula1>
      <formula2>999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5" xr:uid="{9005EDCD-D110-47F1-8DE9-B3E38D5EED9A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6" xr:uid="{5E9C0B4F-7BF9-45AE-B7FC-D59D77EB7297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7" xr:uid="{6240F76D-EB9C-4867-9810-59044BD51489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8" xr:uid="{46888587-A8C7-4A91-8920-9D34289DD7E7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9" xr:uid="{1F5E27FB-8DA8-4933-BBEC-BF3541176AC8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0" xr:uid="{FE437467-D691-45FD-A5A9-0A06F2BD2AD2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1" xr:uid="{A020FF9C-E3EF-4A32-9013-55C7237CD567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2" xr:uid="{4FEF022F-471C-4352-9D2E-EEF1C92ECE04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3" xr:uid="{4A564088-9280-4979-AFC4-3568EE3B9F8D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4" xr:uid="{99D6A8FC-ADDD-4556-9B1D-74F1F18B6D44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5" xr:uid="{40121E3C-B76A-4235-A458-3B4AB3402B46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6" xr:uid="{997DA8D5-55BD-4405-B356-E8CEEDD696CD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7" xr:uid="{DEEA3CA0-CB65-44D0-AEDE-C074E5DE46CE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8" xr:uid="{B8A9F771-7399-4169-AB12-92AEDC83BDEF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19" xr:uid="{49B5FACC-2C85-4C9A-B1EE-A7EB383F19C3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0" xr:uid="{62EA3A5D-7D86-4BDF-BCD2-4D05D9F580CB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1" xr:uid="{19F6EBA8-7BCD-4EA8-AB2F-661C15816341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2" xr:uid="{082C5D21-5DB9-4368-8A3E-019035B68F91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3" xr:uid="{613D3D1C-4917-4A88-A41D-FEAC99F3FFCD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4" xr:uid="{07984508-4747-49F6-B06B-49BA93C1AC6B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5" xr:uid="{C77E302D-747E-4E3A-9BAF-9267E6CE95FD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6" xr:uid="{00DF65D7-BADA-41CA-A8D0-567766A13D4C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7" xr:uid="{61670D68-2505-46EB-8DE1-90669A36B8DE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8" xr:uid="{6DF040BC-7DC2-4273-BD94-69B34DE002B3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29" xr:uid="{82D52F33-4112-4348-AFDD-DD57E123DF4E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30" xr:uid="{5DCE1892-406A-44AE-9052-56AEB8779F3E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31" xr:uid="{F2F71A35-5330-42FA-BDC6-4A098F4AA4CA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32" xr:uid="{15F21018-C7D5-409B-9543-7FDF84D77BB0}">
      <formula1>0</formula1>
      <formula2>99</formula2>
    </dataValidation>
    <dataValidation type="decimal" allowBlank="1" showInputMessage="1" showErrorMessage="1" errorTitle="Erreur" error="Vous devez saisir des valeurs entre 0 et 99." promptTitle="Hauteur" prompt="Entrez la hauteur libre. Si le local a plusieurs hauteurs, faites la moyenne des hauteurs ou saisissez des zones séparément." sqref="F33" xr:uid="{D332BCDF-BE6E-4FE7-8795-37C8A6697D68}">
      <formula1>0</formula1>
      <formula2>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5" xr:uid="{EE037004-BB71-4994-BFB6-EC36820996AA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6" xr:uid="{D8569608-7B17-4EFB-9B2F-EF46FE4075B0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7" xr:uid="{2A6EA1D9-0E4E-491E-9986-084A42124450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8" xr:uid="{CE6DFB95-6680-4585-BF4C-A4E053EB8E43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9" xr:uid="{373B9C8F-414E-4DED-B9FA-65AEE1B4001C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0" xr:uid="{BF5390AE-B83D-466C-89EE-2F95D24BADCC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1" xr:uid="{C91DE6C1-7AFB-46E4-B24D-20E3029E38A0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2" xr:uid="{0F4C543C-EF58-4988-8309-6D7026107C1F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3" xr:uid="{F33997AD-1BEF-4F74-816C-C4AC4522D04A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4" xr:uid="{896EB058-9578-473B-B1C1-0EAE79BDB011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5" xr:uid="{EB880CF8-6BF2-4A70-B813-413D6FA78E6E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6" xr:uid="{544898B2-3FCB-4DB4-BFF1-A27706A2D974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7" xr:uid="{954DB66C-21FC-45B1-A128-3E0C21EC46E3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8" xr:uid="{2F8E2AFF-1DFA-4AA4-BB7A-7BDD0FC7B1AD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19" xr:uid="{D75EFB9F-8910-42D0-997B-11FB41305D6E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0" xr:uid="{5A010194-3D7B-4AC8-834B-F3095C5B4DF8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1" xr:uid="{DFF50D78-33EB-4C51-A4F7-A00414A7B2B1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2" xr:uid="{D114735C-4BD9-42FA-A703-7F18F2D43846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3" xr:uid="{86C4443A-0089-4263-B0FF-510BFF399AB9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4" xr:uid="{980DA02C-AC55-4F17-B222-39A72AC8966E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5" xr:uid="{A16E32E8-118E-4A70-9FAF-A6412613791B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6" xr:uid="{CD455BA3-E095-4CA7-BA36-6A5B18B8F568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7" xr:uid="{2BD909CC-D704-44D6-895A-0049B60B925F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8" xr:uid="{D8A2B44F-AF4A-4C8B-A514-6784D1A381FB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29" xr:uid="{D19FBBCA-40BB-4107-A7D0-1EAB907879CA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30" xr:uid="{892A4F0C-514F-4F42-AC0F-197FA68A860B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31" xr:uid="{4D312188-2A7A-4B07-987E-81B142865C02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32" xr:uid="{97606F30-8189-4903-AA28-6B3021488F61}">
      <formula1>0</formula1>
      <formula2>99999</formula2>
    </dataValidation>
    <dataValidation type="decimal" allowBlank="1" showInputMessage="1" showErrorMessage="1" errorTitle="Erreur" error="Vous devez saisir des valeurs entre 0 et 9999." promptTitle="Surface" prompt="Si la surface ne correspond pas à la multiplication de la longueur et de la largeur, saisissez-la ici, sinon laisser vide." sqref="G33" xr:uid="{C5FF68B8-754C-4433-B8F1-DA1D4008856C}">
      <formula1>0</formula1>
      <formula2>99999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5" xr:uid="{9C9FA140-0E0A-49C8-834C-6724F1B17BA6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6" xr:uid="{A44038BF-99CF-46A7-9608-739629AED61D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7" xr:uid="{DB4106E9-C179-410E-ACF8-F0D5EE76A3B1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8" xr:uid="{F0672506-2C8C-450D-A5BF-2615B0F8459C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9" xr:uid="{8B7C9038-EFA1-4041-B996-FAB571D0BBB8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0" xr:uid="{559152E0-B1CA-4684-A003-D4232B7D30FE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1" xr:uid="{F6425E11-C4EC-46C7-BCA1-336EBF61A021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2" xr:uid="{16C56F35-97DE-4839-A311-534E8B1387CA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3" xr:uid="{520DC9DA-6C2D-4BB9-8184-E64D869CD9EA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4" xr:uid="{448F4ECD-8C2E-46AB-B06F-567EB09398B8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5" xr:uid="{3E9ECEB1-5CC3-4E93-9501-1A1965EB6840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6" xr:uid="{8348A27D-95BC-49BA-AB54-3C9D87A9FC6F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7" xr:uid="{52A086A1-87AA-41CB-A8F3-401FE3687BB6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8" xr:uid="{2A8250C6-FE80-42EE-A973-848F54E209E8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19" xr:uid="{96357EEA-763A-42E6-BD7C-8AC8D4FFE7C9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0" xr:uid="{BB9707D8-4523-4850-81FF-8774D7EC7826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1" xr:uid="{EC551A22-4A2E-4817-8F8B-6CF7ADAAE99B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2" xr:uid="{B95045A5-2760-42ED-B321-EC38FA919E28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3" xr:uid="{A6B88BB2-926E-417D-9366-031F10FDD4EC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4" xr:uid="{94FBE3F4-8FA1-4BFA-B31D-45E7B3FE386C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5" xr:uid="{05638EBA-8CEB-4884-B46C-C1443D06E502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6" xr:uid="{286B8F8B-049F-40AC-AE6B-35985199AC44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7" xr:uid="{0601069F-EDF4-40FB-B40F-70707810622C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8" xr:uid="{CA77478D-01C4-4F37-BA09-956973B4D339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29" xr:uid="{D4CA4F05-9698-4410-AFAE-F7DCD641BF04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30" xr:uid="{19B066B8-CB90-4917-9A09-FBDCEDF497B2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31" xr:uid="{D9369220-651C-4A62-AD99-7A8CC1CA43A9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32" xr:uid="{703B6CD7-0DC2-42E1-A697-7CA58436961F}">
      <formula1>-99</formula1>
      <formula2>999</formula2>
    </dataValidation>
    <dataValidation type="decimal" allowBlank="1" showInputMessage="1" showErrorMessage="1" errorTitle="Erreur" error="Vous devez saisir des valeurs entre -99 et 999." promptTitle="Nombre" prompt="Entrez les nombre de locaux de ce type." sqref="H33" xr:uid="{0869E351-24D9-48E6-8D15-AE04A6C757FF}">
      <formula1>-99</formula1>
      <formula2>999</formula2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5" xr:uid="{E406A837-EF72-4944-A5AC-A50DC8E2E1CE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6" xr:uid="{A3B6F1F8-B0DD-4B80-BE96-C7EDFEA75F2E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7" xr:uid="{2068FFD1-7E8A-4808-A453-0BDE305037E0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8" xr:uid="{5943C6F0-626B-4274-B38D-DEEEE8B34945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9" xr:uid="{0D186403-ADBC-4B1D-AB6E-BC1C83AD6CC3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0" xr:uid="{D4674055-7295-4C9A-AC62-4FAD28783A03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1" xr:uid="{66BA5831-748B-407B-BB89-73DA7AE7D552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2" xr:uid="{21F3D049-02F5-46A7-A237-BA2D57CBF58F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3" xr:uid="{DF03F1CF-E88B-4ED7-8E75-A15C24C22C45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4" xr:uid="{9C92D97A-9B92-4FBC-BFB3-AD1718265D08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5" xr:uid="{0BD41280-7B28-41D2-B173-FC7A2909C442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6" xr:uid="{227471EA-C622-48FC-BCF9-C1041346657E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7" xr:uid="{128BBC2A-34D8-4192-9046-B245FFE1E663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8" xr:uid="{F00B30B1-EEA2-4D9C-B7B8-3D525E5DAA83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19" xr:uid="{4C966E2F-495B-47C3-96D2-318C20E2AF4B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0" xr:uid="{A9B37EE4-E77A-4529-9058-D7AE7816ACA1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1" xr:uid="{4C0E45E7-32E7-4E82-8887-F84AD45AA35A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2" xr:uid="{0DF84659-D19B-4DD4-9B7A-5D792EAEED75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3" xr:uid="{FC82A249-098F-4911-8448-91A78ABE2615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4" xr:uid="{D0E625EB-9852-4F3B-A9FC-94AF31EF5C7C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5" xr:uid="{70C26364-A078-43B8-989B-62814AF2B1CB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6" xr:uid="{FD066C55-5DB7-455B-BAF4-84B9AB273C8D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7" xr:uid="{D170978D-D8BC-4462-B5C5-1D8CD1E466AA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8" xr:uid="{6FD659D6-7AE9-4265-8558-4762DC954A9B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29" xr:uid="{238885C3-35F1-448D-9B54-396FD0B12540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30" xr:uid="{C53586BA-CE7B-4B10-A963-08921A4102FF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31" xr:uid="{491C1144-9405-4F25-B1F4-701EE61AC611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32" xr:uid="{6D42E1B8-0270-4094-A4F9-65E4AD34DE7C}">
      <formula1>ListRaumReflex</formula1>
    </dataValidation>
    <dataValidation type="list" allowBlank="1" showInputMessage="1" showErrorMessage="1" errorTitle="Erreur" error="Vous devez sélectionner un élément de la liste." promptTitle="Réflexion du local" prompt="Sélectionnez un élément de la liste." sqref="I33" xr:uid="{A0086513-CB7D-420B-BDA8-C58106BED941}">
      <formula1>ListRaumReflex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5" xr:uid="{97E89CE8-6775-49A2-A963-9EAC14E117D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6" xr:uid="{84CF3FDC-91FB-43BB-88FA-37B5869F4DD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7" xr:uid="{E6286CD0-8D54-404B-A059-6070A1E6809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8" xr:uid="{378D6A76-1806-4914-B766-DEC59A80989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9" xr:uid="{50552863-61B2-4C3B-A215-04F36978368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10" xr:uid="{0A0D1B16-843E-4B26-AA60-3FF6BC3A7CE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11" xr:uid="{542CE8C5-B7B4-42EC-AEBF-34EFDEB9CB76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12" xr:uid="{2976D741-860D-4051-A82D-5DBCCD392DA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13" xr:uid="{B1D0B3B8-53A9-4F19-80A6-CC44FF5DE6D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14" xr:uid="{4007957E-D15D-4EEE-97E4-146D68FFDD3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15" xr:uid="{3F806E93-C19C-4EA8-BCB1-40468B383D96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16" xr:uid="{B041D087-C268-454B-A1D7-9549C9424D7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17" xr:uid="{6D87FA31-4452-403F-991A-09A5734CA257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18" xr:uid="{F52DFD23-5874-417D-AB0B-43700983898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19" xr:uid="{64E0ECC0-68EF-482D-9CFF-95DDAE96921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20" xr:uid="{DFCC5458-9DAF-466F-947C-A8473D76487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21" xr:uid="{5AA780D6-A4D2-48C2-8E15-DA19F7EAC98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22" xr:uid="{4D075B86-8344-4AC4-AD24-266987448AF6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23" xr:uid="{475CAFE4-BF46-43B3-B929-BBA017B0CCB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24" xr:uid="{E23B884D-C0C2-48C8-BEB4-CBC4A794FD3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25" xr:uid="{7150574B-A6DE-43ED-818B-1F266D492B4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26" xr:uid="{23C64864-4693-4098-9625-72AF392F814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27" xr:uid="{F48F3798-7254-473C-92CA-0F10730D6F3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28" xr:uid="{3B6BA4D8-686E-48C1-B668-BE0990AABFD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29" xr:uid="{B8CFB8E6-A481-4B9F-BB7A-742BBE4737A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30" xr:uid="{D84142D7-7705-4C61-BC6E-DAD2B25D51C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31" xr:uid="{2ACBA425-2F4B-411D-9BE8-9F769AB64FF7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32" xr:uid="{B573BB7E-CFAE-4F96-9C51-D7DA47F724D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33" xr:uid="{BDE91A99-301E-4847-8136-8ADCF643D39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J34" xr:uid="{999DA3E5-870E-48BD-B6A5-6004ED2588BD}">
      <formula1>ListWindow</formula1>
    </dataValidation>
    <dataValidation type="whole" allowBlank="1" showInputMessage="1" showErrorMessage="1" errorTitle="Erreur" error="Vous devez saisir des valeurs entières entre 0 et 999." promptTitle="Nombre" prompt="Entrez le nombre de fenêtres de ce type." sqref="K5" xr:uid="{5E10315F-2547-45E2-8922-2A21CBDE152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6" xr:uid="{54DAFC55-961B-4735-8CDB-722CF511B3E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7" xr:uid="{0567C41E-193C-4E93-8549-AC0DABFDF8D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8" xr:uid="{A602F792-621B-49DC-892B-F5AFFB07961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9" xr:uid="{721F5CB5-C407-4C82-8A66-394E68CE04B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0" xr:uid="{7AF1EBC9-A90C-4A41-8460-5F01ECB2FB5E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1" xr:uid="{5EE1B5A0-4348-4FD6-86C4-31CB00D9C8C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2" xr:uid="{95EAAA7F-3949-4ED5-8AC2-F3C644A7609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3" xr:uid="{482F2912-52D1-4EED-985F-4A6DE41528F8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4" xr:uid="{64FE5484-9C5D-46A0-A74C-80C72089C61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5" xr:uid="{9E688CBF-F013-4539-B338-453FE3EDCBF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6" xr:uid="{A9F6ABE1-33EC-4947-947E-2038DAE4486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7" xr:uid="{C1C1DDAC-8D4A-4FB4-B1DE-2E1BFBF270D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8" xr:uid="{2536DE71-3F0D-4EB3-95B4-48883665CD0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19" xr:uid="{4C82B82E-6F36-4573-8401-C21D9E79622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0" xr:uid="{DE701C96-04FA-4EE4-A718-6FFBEF6828A0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1" xr:uid="{2E3A373B-D89A-4122-A83D-08377710EFD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2" xr:uid="{EB427108-2D40-4323-A9D6-C97421E2B43E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3" xr:uid="{9205DD18-17DD-44AF-821A-3FBD2EC17EF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4" xr:uid="{12F85456-0713-4970-89CF-37ADE412EC2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5" xr:uid="{A30C2F0F-B602-4BE6-A173-89A1478869A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6" xr:uid="{7092C7AF-6B67-4BBE-A259-9C5A50D77E2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7" xr:uid="{5B8D6989-D5D5-423B-876A-280F352C93A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8" xr:uid="{99A896AC-A3B9-41FA-8967-F487E5E4409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29" xr:uid="{70ECE44C-922A-405E-85DF-EE4C323830B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30" xr:uid="{EFC2ECAF-46D5-4BC4-8764-5400CF1862F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31" xr:uid="{DD3F0C7A-E5F6-4E1D-BF2F-3A833F417FD8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32" xr:uid="{D945C2B6-15F8-4F71-80A0-5664B1B7F558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33" xr:uid="{98A05643-AFCF-4592-8B87-BB51CFA3225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K34" xr:uid="{75346097-3423-4070-B53E-34BE815E5ED6}">
      <formula1>0</formula1>
      <formula2>999</formula2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5" xr:uid="{1975F66D-5EA9-4AC7-B62E-7D64A18B5CA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6" xr:uid="{2E888F0A-43C2-4AE3-A7CA-D643332E0F8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7" xr:uid="{2A4A4932-09D1-43CF-BC18-B22A1EBA317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8" xr:uid="{DD5A601C-A60A-4CDC-8EC3-1B38E59185E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9" xr:uid="{ED3155D9-828E-427C-B738-9938FFED40F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0" xr:uid="{7F9D0D1A-91AE-48B9-B326-7790E87F22B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1" xr:uid="{8844E474-3995-4064-87E8-4C48D118A59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2" xr:uid="{8DE1F9C1-E1EE-4578-8A86-EDA4965F4407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3" xr:uid="{DD2EB090-316E-42EA-AA0B-5A5CD552B31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4" xr:uid="{FB1AC756-74F5-4E75-9BDC-9E0CE146B79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5" xr:uid="{E036CC18-6E80-4C9F-845C-E611938059A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6" xr:uid="{1659494B-1A15-4C43-B2D3-4DE1FA5FC7E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7" xr:uid="{32C1D0B2-2180-4770-BAE6-3C003032476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8" xr:uid="{C56BF0AB-279A-4DD9-B2EF-EF43E27C352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19" xr:uid="{D5F38D1F-1349-41BC-A0A7-6080797615A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0" xr:uid="{086174D3-4F44-45AD-B2CC-78EE39E566C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1" xr:uid="{B1860857-A656-4BA0-8D25-5B765AC907A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2" xr:uid="{8697497D-7046-4ECF-8980-0103127E92C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3" xr:uid="{F0271B70-B64B-473B-9EC2-B88DD3CB737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4" xr:uid="{BEA5E6A6-2E95-45C2-919A-004DC52FDB5F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5" xr:uid="{BD613A20-462E-46F4-BF98-5A190ECADA3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6" xr:uid="{A5AEA015-A3B5-4DE7-84D0-AC65FE00FCB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7" xr:uid="{C1363024-BEB6-4BD5-B35B-5CD30B107C0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8" xr:uid="{F0C816C1-57ED-4C19-886C-5725A28FA46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29" xr:uid="{D15E438A-2621-4994-918A-6EB737CB6F0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30" xr:uid="{71E6B1D6-7E6F-4E90-92C1-32C8DA0763A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31" xr:uid="{C5177CD8-8B7A-4C02-8FCE-902B210006D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32" xr:uid="{6B7C288C-C41E-477E-8078-894692DD9AB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33" xr:uid="{DFF02D32-5DE3-40F6-9C39-4FED945BD26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L34" xr:uid="{BCA62CD6-8517-4518-B123-6AE524074872}">
      <formula1>ListWindow</formula1>
    </dataValidation>
    <dataValidation type="whole" allowBlank="1" showInputMessage="1" showErrorMessage="1" errorTitle="Erreur" error="Vous devez saisir des valeurs entières entre 0 et 999." promptTitle="Nombre" prompt="Entrez le nombre de fenêtres de ce type." sqref="M5" xr:uid="{A8E7EAD2-4E36-484D-97C4-7F9604F5F1A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6" xr:uid="{DEA43CA3-C002-46B0-B467-65837B7CFE7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7" xr:uid="{C045A6F3-8199-458F-92FB-EC166FA1CB7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8" xr:uid="{39EA28F2-24AD-4023-935B-A3FEDD02FB10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9" xr:uid="{29518BA1-4F26-4070-8B19-CBFAEF3CEC9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0" xr:uid="{1778B85E-F517-4405-8900-FE7981815A8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1" xr:uid="{B79B2316-0AA9-496D-96E4-6226ECC65C2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2" xr:uid="{AFCDBB7D-1D2C-469B-9E45-5EC9DFFA431E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3" xr:uid="{104178AF-2A51-4A6D-A567-1BD88ABED4ED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4" xr:uid="{1566DE84-D1D9-4A78-A7F8-0C7DC7B427B8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5" xr:uid="{8FA92889-C27C-40FA-9B97-4F757EBD57A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6" xr:uid="{5B05F4B6-C24D-4B2E-B00F-8C638B33469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7" xr:uid="{E562382A-06A7-40C7-B6AA-6CE3C01F3AC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8" xr:uid="{22AA161A-FFE0-4F12-B3E6-D19D75BEC73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19" xr:uid="{A29AD46B-A4B1-4B7A-A99B-30EA1F92569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0" xr:uid="{A38BBC36-8F64-40C1-BA47-5B899509171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1" xr:uid="{04218285-21DC-4AAE-AB31-AA9DCCB218C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2" xr:uid="{F7F545F5-4B5F-47D3-B013-1C6CB2F5CA5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3" xr:uid="{C995D901-43BC-461D-B163-98AB91B93FC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4" xr:uid="{3A54EE48-9BCE-4BC6-8897-6EFE96BF894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5" xr:uid="{342F3B53-8C4B-408E-BFC2-D950E2926A2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6" xr:uid="{BD6E57D6-AAB5-499F-9618-CAFBD026697C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7" xr:uid="{1AA91E80-5E97-4593-833C-A262C28270E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8" xr:uid="{5E31EC5C-C48A-4D0A-BDAC-18E06B1C544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29" xr:uid="{A8F5ECAE-0EF1-4DF0-BC8C-3206B157A3C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30" xr:uid="{9ECCB812-ED8A-4C35-B564-970EE402CC80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31" xr:uid="{D1638454-C39C-4820-83A0-027D5F88D6C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32" xr:uid="{2CC95AF9-3543-4B2E-B7E6-960AC2D1156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33" xr:uid="{FC535A31-5588-4391-96FA-A9A39C3B5D6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M34" xr:uid="{46AD35EF-4AED-4324-9504-B45D30DD487E}">
      <formula1>0</formula1>
      <formula2>999</formula2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5" xr:uid="{F44EA580-7BA8-4B14-A4D8-78F277F6A516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6" xr:uid="{4C882D5F-8503-425B-9608-EAB5C6EA6F3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7" xr:uid="{173C626E-766C-45B6-A16C-8350478D8D67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8" xr:uid="{38F8F836-30DF-4D3D-93EC-9882C545C97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9" xr:uid="{463665D7-F206-4BB0-B54F-DD375B41437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0" xr:uid="{CD45A76B-6452-46F4-92EF-58BB774585F6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1" xr:uid="{B954C697-7FC9-489C-8E1D-001F2475A95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2" xr:uid="{FE9F29DF-E667-4E56-B4CE-18DC8E46272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3" xr:uid="{3A9E6855-DB3C-46D0-B30C-4FBAEE7CC5B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4" xr:uid="{DD1F9AFE-C364-4714-81F7-D747C7E705A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5" xr:uid="{6553513D-1487-4877-8394-10477210D48A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6" xr:uid="{88871680-EC26-439C-87C5-BE0E747091F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7" xr:uid="{1238450D-DEAB-43C0-AD56-FE2EC3E6D9A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8" xr:uid="{FA528343-F253-4101-9C27-DF7CD26431C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19" xr:uid="{65EE6BD8-5E62-4B87-85F4-15C68E082E36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0" xr:uid="{5E9FBD23-BE8A-49FB-8BAC-3F9AA14A490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1" xr:uid="{888EF5D2-8C7D-4954-AEAE-970E5739C5C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2" xr:uid="{799F4C91-44A3-4CAA-9998-3ABF495AE66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3" xr:uid="{32C4D3F3-BFFA-4B95-B29B-F7AD0E2905A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4" xr:uid="{C6ACB8A7-AC8A-4F67-B101-D908ED968E9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5" xr:uid="{C855BD4D-D334-458E-8061-87F606EB3FB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6" xr:uid="{388F29AD-5A91-4092-83DA-E1327C29BC4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7" xr:uid="{024CD993-BC15-4BF4-A09F-682AC262B3E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8" xr:uid="{1C437A26-3278-4081-8A4C-B006A3462913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29" xr:uid="{C6BA3B61-032D-45E3-B137-86418FDA6F2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30" xr:uid="{D81230A6-3790-4D30-A6B2-A38EB3BA866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31" xr:uid="{39F9ACFC-4742-4C47-A529-4751DB3FEB94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32" xr:uid="{2C75BFC3-A046-4FB1-9821-8AEA4198C28E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33" xr:uid="{D189565B-C204-4E77-8B76-9D60A96AF87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N34" xr:uid="{F48EBFCB-49D2-4742-8465-93F8926CEE4D}">
      <formula1>ListWindow</formula1>
    </dataValidation>
    <dataValidation type="whole" allowBlank="1" showInputMessage="1" showErrorMessage="1" errorTitle="Erreur" error="Vous devez saisir des valeurs entières entre 0 et 999." promptTitle="Nombre" prompt="Entrez le nombre de fenêtres de ce type." sqref="O5" xr:uid="{46EF1E1B-C51D-4539-AAB0-351818C66A0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6" xr:uid="{2E2B5018-74F7-42D1-AD3F-3AF67B0236E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7" xr:uid="{79E0BA64-7FF5-42E7-9251-FEC74887B27C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8" xr:uid="{CA3A0FF8-01FB-4C91-9A7A-FE259813AB5F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9" xr:uid="{1AADD5D7-6B2C-4664-995B-940DA9065F1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0" xr:uid="{1E45B55F-EBFC-4D8B-9D4E-282056BE8184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1" xr:uid="{4ABC0008-8DE8-4AD3-B507-94237B9E19F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2" xr:uid="{66B7828B-7098-4AAC-85C0-82AFE972BDC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3" xr:uid="{6F31F3B4-234F-49BB-8473-0CA55111B4A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4" xr:uid="{DD9A296B-E11F-42F3-958E-911F0AF49DA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5" xr:uid="{CB7C35E1-7593-47ED-977C-00802100CCE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6" xr:uid="{7327AEB7-894B-4053-936A-D2FE690BD8B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7" xr:uid="{59616378-3921-47F5-A799-0A719E76A99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8" xr:uid="{5870BD0C-0FEA-47A1-B7AF-53FA47E041C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19" xr:uid="{7C30648B-1EEB-42A0-A782-8DC39B48B6B8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0" xr:uid="{1D1D69BD-53D0-49C2-AB52-8B6938FEA42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1" xr:uid="{C31F4A96-792E-483F-A7D7-7BE37018112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2" xr:uid="{06FC7CB5-5DF8-4449-A372-2E34B511DE6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3" xr:uid="{F1AB006B-1684-4E2B-8BD5-75D7A87AD39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4" xr:uid="{612D6110-2B76-4091-B185-6F9F0235AD0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5" xr:uid="{CEFB4753-49C3-4A4C-9E68-2E3CAB71323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6" xr:uid="{99C61E47-01ED-42B0-BCEC-8519CC2253C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7" xr:uid="{90C330F3-D99A-49EE-8889-25EE280478F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8" xr:uid="{1A1D0C89-7513-42B2-8C90-556ACE2D0943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29" xr:uid="{D21C2C68-7528-4222-8764-43DF7397EF3D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30" xr:uid="{3A3180CD-B222-42E5-8172-7E4DC623C158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31" xr:uid="{C87CAE97-E778-437A-A1C2-72924450283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32" xr:uid="{42369633-9FE5-406D-B2B7-B374ABAF400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33" xr:uid="{483344F7-5134-4E1D-B3DB-468C7D427EC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O34" xr:uid="{C7A7328A-30E6-4E29-ABCE-9C8AA1BDA168}">
      <formula1>0</formula1>
      <formula2>999</formula2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5" xr:uid="{4FF41A06-E302-4734-BB22-23CEC94D80B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6" xr:uid="{FCC980D2-0285-42B3-BF81-10AB6C30D78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7" xr:uid="{89FF8FAE-FB74-40A9-BD63-43E0CB2BC57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8" xr:uid="{83E7DD3E-3750-4C9C-9DB2-C3D7482CA3F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9" xr:uid="{71B7D43C-0088-4BF7-92AB-7F982737848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0" xr:uid="{7D656442-C742-4833-8FA6-CEFB20803C2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1" xr:uid="{85419D78-28F2-4EF5-ACBF-206CEDBEA23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2" xr:uid="{731C4FFB-2766-4C70-9831-E58D52BB3259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3" xr:uid="{52954750-77DA-483E-90B6-4B5653A664C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4" xr:uid="{1BCFB944-AAA9-4D1F-9A14-67725DFBE8F7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5" xr:uid="{2E14245B-0687-43C9-AEDE-E8FBD3C6E1B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6" xr:uid="{94FF2444-7468-4ECB-9832-44E4FD788187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7" xr:uid="{51769220-CC18-4FAF-A729-27BAD6DD5E5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8" xr:uid="{EEEB3828-766B-41EC-B0C5-9CF0DD805958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19" xr:uid="{449EFE46-0D8A-414B-A76F-69A4B8B14656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0" xr:uid="{32F327ED-EA7C-4DCE-A38F-F7B4F736347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1" xr:uid="{EB04268E-AC93-4E16-8FA4-70609B0FBBFD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2" xr:uid="{4D9333B9-867A-4910-A272-C9E9B0244AF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3" xr:uid="{91A21A91-1278-4580-A6EA-116EDE6E6426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4" xr:uid="{6E8A4309-B876-4383-BAF0-43237012A2A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5" xr:uid="{6350E1E7-2D3C-40B9-8EF3-CDD94B98610C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6" xr:uid="{27F8CA5A-EF35-4897-BC4B-F77B6AE2D7B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7" xr:uid="{F63E6AC3-2355-4383-A5D4-E46F9D87FAA1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8" xr:uid="{DA0BE241-E9DB-422C-A585-F4FF158115C0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29" xr:uid="{7B61D201-3943-43E6-9576-3C638D816F15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30" xr:uid="{C5AB38EE-441C-4C4B-AAEA-74E9ADC7626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31" xr:uid="{3E0F3B33-4E99-4D1B-9BB0-F39114CBBB4B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32" xr:uid="{1E524935-BF91-4B81-8BF7-3B02AC29A252}">
      <formula1>ListWindow</formula1>
    </dataValidation>
    <dataValidation type="list" allowBlank="1" showInputMessage="1" showErrorMessage="1" errorTitle="Erreur" error="Vous devez sélectionner un élément de la liste." promptTitle="Type de fenêtre" prompt="Choisissez un des type de fenêtres saisi dans la feuille 'Fenster'." sqref="P33" xr:uid="{F78F693E-BE6D-41A8-8540-CE866646C8A4}">
      <formula1>ListWindow</formula1>
    </dataValidation>
    <dataValidation type="whole" allowBlank="1" showInputMessage="1" showErrorMessage="1" errorTitle="Erreur" error="Vous devez saisir des valeurs entières entre 0 et 999." promptTitle="Nombre" prompt="Entrez le nombre de fenêtres de ce type." sqref="Q5" xr:uid="{6D76C75E-5809-49CF-ACBA-5C4B3DE7639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6" xr:uid="{4319C106-9173-4F49-986C-DD495B5F1DC5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7" xr:uid="{A8383040-0377-48AD-9793-DD5085FF27FD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8" xr:uid="{1DA6B9A8-5370-4B5B-BC76-BFD4D3500F7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9" xr:uid="{7ABB13A9-E352-4CB2-82D7-9BE1AFBFB9A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0" xr:uid="{337C96D1-ABEB-4C75-94DF-1E28384AA7C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1" xr:uid="{F04A5729-E960-477A-8916-A0DFFC165A2C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2" xr:uid="{AA6232B0-F28E-40AD-B9E1-BA4F61E6525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3" xr:uid="{655ED0A9-561F-4038-9492-3688601FF56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4" xr:uid="{C2E09A05-67BA-4A2F-A665-AB2E1489E54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5" xr:uid="{405C78EC-1E0B-4572-A456-0618040A825F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6" xr:uid="{901052F1-A01F-4839-8E55-BD0AB3CCCE9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7" xr:uid="{C0BC2A4C-91EC-4F8E-8B25-A4F8A27152EF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8" xr:uid="{01B399C5-7FAF-4497-90EE-26C3590647C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19" xr:uid="{AB1CF3A9-1766-4D16-8785-3C45FA5E542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0" xr:uid="{85894D30-A695-459A-9C12-1FC5BEE97758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1" xr:uid="{9B837AC1-95F5-4DBE-A746-96BF4C7790A1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2" xr:uid="{E65E0CAA-998E-46B8-B4DA-1F84F84ABF0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3" xr:uid="{FC6286A4-3B27-4B65-B10E-8F737F217A7A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4" xr:uid="{BCD82ACA-1584-4A5F-8117-1DDF1664744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5" xr:uid="{73BFC407-044B-4667-A2DF-C867DA3F6F89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6" xr:uid="{E6AB4FDC-FB20-44FC-AF12-379F29A73DE8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7" xr:uid="{FD219F77-D8A2-435D-9297-35B2096DD5D6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8" xr:uid="{50D78E4C-E468-4C89-A323-781B929995C0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29" xr:uid="{43517426-68ED-4B77-AA35-A35E1285D7A7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30" xr:uid="{131A747A-7FA2-40BC-97F8-ECC73B6FF952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31" xr:uid="{65C49E93-D61A-4B5A-8B85-D887E59AC10C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32" xr:uid="{9646EABF-DEC5-43F2-BB3A-518B8C2D5B0B}">
      <formula1>0</formula1>
      <formula2>999</formula2>
    </dataValidation>
    <dataValidation type="whole" allowBlank="1" showInputMessage="1" showErrorMessage="1" errorTitle="Erreur" error="Vous devez saisir des valeurs entières entre 0 et 999." promptTitle="Nombre" prompt="Entrez le nombre de fenêtres de ce type." sqref="Q33" xr:uid="{18578660-93AC-4138-985C-086849913FCA}">
      <formula1>0</formula1>
      <formula2>999</formula2>
    </dataValidation>
  </dataValidations>
  <hyperlinks>
    <hyperlink ref="G1:I2" location="'Nachweis Tageslicht'!A1" display="Zum Nachweis" xr:uid="{00000000-0004-0000-0200-000000000000}"/>
    <hyperlink ref="D1:F2" location="Überblick!A1" display="Zum Überblick" xr:uid="{00000000-0004-0000-0200-000001000000}"/>
  </hyperlinks>
  <printOptions horizontalCentered="1"/>
  <pageMargins left="0.55118110236220474" right="0.55118110236220474" top="0.43307086614173229" bottom="0" header="0.51181102362204722" footer="0.27559055118110237"/>
  <pageSetup paperSize="9" scale="77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>
    <tabColor theme="9" tint="0.59999389629810485"/>
  </sheetPr>
  <dimension ref="A1:T56"/>
  <sheetViews>
    <sheetView showGridLines="0" workbookViewId="0">
      <selection activeCell="C5" sqref="C5"/>
    </sheetView>
  </sheetViews>
  <sheetFormatPr baseColWidth="10" defaultRowHeight="15" x14ac:dyDescent="0.35"/>
  <cols>
    <col min="1" max="1" width="2.75" customWidth="1"/>
    <col min="2" max="2" width="46.3125" customWidth="1"/>
    <col min="3" max="6" width="12.75" customWidth="1"/>
    <col min="7" max="7" width="11.5625" customWidth="1"/>
    <col min="8" max="8" width="10.0625" customWidth="1"/>
    <col min="9" max="13" width="11.5625" hidden="1" customWidth="1"/>
  </cols>
  <sheetData>
    <row r="1" spans="1:20" ht="28.5" customHeight="1" x14ac:dyDescent="0.35">
      <c r="A1" s="207" t="str">
        <f>IF(Projektbez="","",Projektbez&amp;" – ")&amp;Texte!$B$101</f>
        <v>Locaux types et vues</v>
      </c>
      <c r="B1" s="208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T1" s="209"/>
    </row>
    <row r="2" spans="1:20" ht="9" customHeight="1" x14ac:dyDescent="0.35">
      <c r="A2" s="102"/>
      <c r="B2" s="102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</row>
    <row r="3" spans="1:20" ht="18.75" customHeight="1" x14ac:dyDescent="0.35">
      <c r="A3" s="38"/>
      <c r="B3" s="187" t="str">
        <f>VLOOKUP(ADDRESS(ROW(),COLUMN(),4),MatrixTexteT5,2,FALSE)</f>
        <v>Locaux types</v>
      </c>
      <c r="C3" s="285" t="str">
        <f>VLOOKUP(ADDRESS(ROW(),COLUMN(),4),MatrixTexteT5,2,FALSE)</f>
        <v>Donées du local</v>
      </c>
      <c r="D3" s="286"/>
      <c r="E3" s="286"/>
      <c r="F3" s="286"/>
      <c r="G3" s="285" t="str">
        <f>Lumière_du_jour!R3</f>
        <v>Rés.</v>
      </c>
      <c r="H3" s="286"/>
      <c r="I3" s="296" t="s">
        <v>122</v>
      </c>
      <c r="J3" s="297"/>
      <c r="K3" s="297"/>
      <c r="L3" s="297"/>
      <c r="M3" s="297"/>
      <c r="N3" s="209"/>
      <c r="O3" s="209"/>
      <c r="P3" s="209"/>
      <c r="Q3" s="209"/>
      <c r="R3" s="209"/>
      <c r="S3" s="209"/>
      <c r="T3" s="209"/>
    </row>
    <row r="4" spans="1:20" ht="46.5" customHeight="1" thickBot="1" x14ac:dyDescent="0.4">
      <c r="A4" s="87" t="s">
        <v>651</v>
      </c>
      <c r="B4" s="86" t="str">
        <f>VLOOKUP(ADDRESS(ROW(),COLUMN(),4),MatrixTexteT5,2,FALSE)</f>
        <v>Dénomination du local
-</v>
      </c>
      <c r="C4" s="39" t="str">
        <f>VLOOKUP(ADDRESS(ROW(),COLUMN(),4),MatrixTexteT5,2,FALSE)</f>
        <v>Profondeur de la zone utilisée
m</v>
      </c>
      <c r="D4" s="39" t="str">
        <f>VLOOKUP(ADDRESS(ROW(),COLUMN(),4),MatrixTexteT5,2,FALSE)</f>
        <v>Profondeur de la vue
m</v>
      </c>
      <c r="E4" s="302" t="str">
        <f>VLOOKUP(ADDRESS(ROW(),COLUMN(),4),MatrixTexteT5,2,FALSE)</f>
        <v>Eléments visibles
-</v>
      </c>
      <c r="F4" s="303"/>
      <c r="G4" s="39" t="str">
        <f>VLOOKUP(ADDRESS(ROW(),COLUMN(),4),MatrixTexteT5,2,FALSE)</f>
        <v>Résultat
-</v>
      </c>
      <c r="H4" s="39" t="str">
        <f>VLOOKUP(ADDRESS(ROW(),COLUMN(),4),MatrixTexteT5,2,FALSE)</f>
        <v>Résultat
Pt.</v>
      </c>
      <c r="I4" s="189" t="s">
        <v>804</v>
      </c>
      <c r="J4" s="189" t="s">
        <v>801</v>
      </c>
      <c r="K4" s="189" t="s">
        <v>848</v>
      </c>
      <c r="L4" s="39" t="s">
        <v>803</v>
      </c>
      <c r="M4" s="39" t="s">
        <v>800</v>
      </c>
      <c r="N4" s="209"/>
      <c r="O4" s="209"/>
      <c r="P4" s="209"/>
      <c r="Q4" s="209"/>
      <c r="R4" s="209"/>
      <c r="S4" s="209"/>
      <c r="T4" s="209"/>
    </row>
    <row r="5" spans="1:20" ht="15.9" thickTop="1" thickBot="1" x14ac:dyDescent="0.4">
      <c r="A5" s="40">
        <v>1</v>
      </c>
      <c r="B5" s="204" t="str">
        <f>IF(Lumière_du_jour!B5="","",Lumière_du_jour!B5)</f>
        <v/>
      </c>
      <c r="C5" s="190"/>
      <c r="D5" s="190"/>
      <c r="E5" s="298"/>
      <c r="F5" s="299"/>
      <c r="G5" s="41" t="str">
        <f>M5</f>
        <v/>
      </c>
      <c r="H5" s="203" t="str">
        <f>L5</f>
        <v/>
      </c>
      <c r="I5" s="41">
        <f>Lumière_du_jour!W5</f>
        <v>0</v>
      </c>
      <c r="J5" s="41" t="str">
        <f t="shared" ref="J5:J34" si="0">IFERROR(DEGREES(ATAN(I5/C5)),"")</f>
        <v/>
      </c>
      <c r="K5" s="41">
        <f>Lumière_du_jour!S5*Lumière_du_jour!H5</f>
        <v>0</v>
      </c>
      <c r="L5" s="41" t="str">
        <f t="shared" ref="L5:L34" si="1">IFERROR(IF(AND(VLOOKUP(E5,MatrixAussicht,2,FALSE)=3,J5&gt;=54,D5&gt;=50),3,IF(AND(VLOOKUP(E5,MatrixAussicht,2,FALSE)&gt;=2,J5&gt;=28,D5&gt;=20),2,IF(AND(VLOOKUP(E5,MatrixAussicht,2,FALSE)&gt;=1,J5&gt;=14,D5&gt;=6),1,0))),"")</f>
        <v/>
      </c>
      <c r="M5" s="41" t="str">
        <f>IF(L5="","",IF(L5=3,Texte!$B$214,IF(L5=2,Texte!$B$215,IF(L5=1,Texte!$B$216,Texte!$B$217))))</f>
        <v/>
      </c>
      <c r="N5" s="209"/>
      <c r="O5" s="209"/>
      <c r="P5" s="209"/>
      <c r="Q5" s="209"/>
      <c r="R5" s="209"/>
      <c r="S5" s="209"/>
      <c r="T5" s="209"/>
    </row>
    <row r="6" spans="1:20" ht="15.9" thickTop="1" thickBot="1" x14ac:dyDescent="0.4">
      <c r="A6" s="40">
        <v>2</v>
      </c>
      <c r="B6" s="204" t="str">
        <f>IF(Lumière_du_jour!B6="","",Lumière_du_jour!B6)</f>
        <v/>
      </c>
      <c r="C6" s="190"/>
      <c r="D6" s="190"/>
      <c r="E6" s="298"/>
      <c r="F6" s="299"/>
      <c r="G6" s="41" t="str">
        <f t="shared" ref="G6:G34" si="2">M6</f>
        <v/>
      </c>
      <c r="H6" s="203" t="str">
        <f t="shared" ref="H6:H34" si="3">L6</f>
        <v/>
      </c>
      <c r="I6" s="41">
        <f>Lumière_du_jour!W6</f>
        <v>0</v>
      </c>
      <c r="J6" s="41" t="str">
        <f t="shared" si="0"/>
        <v/>
      </c>
      <c r="K6" s="41">
        <f>Lumière_du_jour!S6*Lumière_du_jour!H6</f>
        <v>0</v>
      </c>
      <c r="L6" s="41" t="str">
        <f t="shared" si="1"/>
        <v/>
      </c>
      <c r="M6" s="41" t="str">
        <f>IF(L6="","",IF(L6=3,Texte!$B$214,IF(L6=2,Texte!$B$215,IF(L6=1,Texte!$B$216,Texte!$B$217))))</f>
        <v/>
      </c>
      <c r="N6" s="209"/>
      <c r="O6" s="209"/>
      <c r="P6" s="209"/>
      <c r="Q6" s="209"/>
      <c r="R6" s="209"/>
      <c r="S6" s="209"/>
      <c r="T6" s="209"/>
    </row>
    <row r="7" spans="1:20" ht="15.9" thickTop="1" thickBot="1" x14ac:dyDescent="0.4">
      <c r="A7" s="40">
        <v>3</v>
      </c>
      <c r="B7" s="204" t="str">
        <f>IF(Lumière_du_jour!B7="","",Lumière_du_jour!B7)</f>
        <v/>
      </c>
      <c r="C7" s="190"/>
      <c r="D7" s="190"/>
      <c r="E7" s="298"/>
      <c r="F7" s="299"/>
      <c r="G7" s="41" t="str">
        <f t="shared" si="2"/>
        <v/>
      </c>
      <c r="H7" s="203" t="str">
        <f t="shared" si="3"/>
        <v/>
      </c>
      <c r="I7" s="41">
        <f>Lumière_du_jour!W7</f>
        <v>0</v>
      </c>
      <c r="J7" s="41" t="str">
        <f t="shared" si="0"/>
        <v/>
      </c>
      <c r="K7" s="41">
        <f>Lumière_du_jour!S7*Lumière_du_jour!H7</f>
        <v>0</v>
      </c>
      <c r="L7" s="41" t="str">
        <f t="shared" si="1"/>
        <v/>
      </c>
      <c r="M7" s="41" t="str">
        <f>IF(L7="","",IF(L7=3,Texte!$B$214,IF(L7=2,Texte!$B$215,IF(L7=1,Texte!$B$216,Texte!$B$217))))</f>
        <v/>
      </c>
      <c r="N7" s="209"/>
      <c r="O7" s="209"/>
      <c r="P7" s="209"/>
      <c r="Q7" s="209"/>
      <c r="R7" s="209"/>
      <c r="S7" s="209"/>
      <c r="T7" s="209"/>
    </row>
    <row r="8" spans="1:20" ht="15.9" thickTop="1" thickBot="1" x14ac:dyDescent="0.4">
      <c r="A8" s="40">
        <v>4</v>
      </c>
      <c r="B8" s="204" t="str">
        <f>IF(Lumière_du_jour!B8="","",Lumière_du_jour!B8)</f>
        <v/>
      </c>
      <c r="C8" s="190"/>
      <c r="D8" s="190"/>
      <c r="E8" s="298"/>
      <c r="F8" s="299"/>
      <c r="G8" s="41" t="str">
        <f t="shared" si="2"/>
        <v/>
      </c>
      <c r="H8" s="203" t="str">
        <f t="shared" si="3"/>
        <v/>
      </c>
      <c r="I8" s="41">
        <f>Lumière_du_jour!W8</f>
        <v>0</v>
      </c>
      <c r="J8" s="41" t="str">
        <f t="shared" si="0"/>
        <v/>
      </c>
      <c r="K8" s="41">
        <f>Lumière_du_jour!S8*Lumière_du_jour!H8</f>
        <v>0</v>
      </c>
      <c r="L8" s="41" t="str">
        <f t="shared" si="1"/>
        <v/>
      </c>
      <c r="M8" s="41" t="str">
        <f>IF(L8="","",IF(L8=3,Texte!$B$214,IF(L8=2,Texte!$B$215,IF(L8=1,Texte!$B$216,Texte!$B$217))))</f>
        <v/>
      </c>
      <c r="N8" s="209"/>
      <c r="O8" s="209"/>
      <c r="P8" s="209"/>
      <c r="Q8" s="209"/>
      <c r="R8" s="209"/>
      <c r="S8" s="209"/>
      <c r="T8" s="209"/>
    </row>
    <row r="9" spans="1:20" ht="15.9" thickTop="1" thickBot="1" x14ac:dyDescent="0.4">
      <c r="A9" s="40">
        <v>5</v>
      </c>
      <c r="B9" s="204" t="str">
        <f>IF(Lumière_du_jour!B9="","",Lumière_du_jour!B9)</f>
        <v/>
      </c>
      <c r="C9" s="190"/>
      <c r="D9" s="190"/>
      <c r="E9" s="298"/>
      <c r="F9" s="299"/>
      <c r="G9" s="41" t="str">
        <f t="shared" si="2"/>
        <v/>
      </c>
      <c r="H9" s="203" t="str">
        <f t="shared" si="3"/>
        <v/>
      </c>
      <c r="I9" s="41">
        <f>Lumière_du_jour!W9</f>
        <v>0</v>
      </c>
      <c r="J9" s="41" t="str">
        <f t="shared" si="0"/>
        <v/>
      </c>
      <c r="K9" s="41">
        <f>Lumière_du_jour!S9*Lumière_du_jour!H9</f>
        <v>0</v>
      </c>
      <c r="L9" s="41" t="str">
        <f t="shared" si="1"/>
        <v/>
      </c>
      <c r="M9" s="41" t="str">
        <f>IF(L9="","",IF(L9=3,Texte!$B$214,IF(L9=2,Texte!$B$215,IF(L9=1,Texte!$B$216,Texte!$B$217))))</f>
        <v/>
      </c>
      <c r="N9" s="209"/>
      <c r="O9" s="209"/>
      <c r="P9" s="209"/>
      <c r="Q9" s="209"/>
      <c r="R9" s="209"/>
      <c r="S9" s="209"/>
      <c r="T9" s="209"/>
    </row>
    <row r="10" spans="1:20" ht="15.9" thickTop="1" thickBot="1" x14ac:dyDescent="0.4">
      <c r="A10" s="40">
        <v>6</v>
      </c>
      <c r="B10" s="204" t="str">
        <f>IF(Lumière_du_jour!B10="","",Lumière_du_jour!B10)</f>
        <v/>
      </c>
      <c r="C10" s="190"/>
      <c r="D10" s="190"/>
      <c r="E10" s="298"/>
      <c r="F10" s="299"/>
      <c r="G10" s="41" t="str">
        <f t="shared" si="2"/>
        <v/>
      </c>
      <c r="H10" s="203" t="str">
        <f t="shared" si="3"/>
        <v/>
      </c>
      <c r="I10" s="41">
        <f>Lumière_du_jour!W10</f>
        <v>0</v>
      </c>
      <c r="J10" s="41" t="str">
        <f t="shared" si="0"/>
        <v/>
      </c>
      <c r="K10" s="41">
        <f>Lumière_du_jour!S10*Lumière_du_jour!H10</f>
        <v>0</v>
      </c>
      <c r="L10" s="41" t="str">
        <f t="shared" si="1"/>
        <v/>
      </c>
      <c r="M10" s="41" t="str">
        <f>IF(L10="","",IF(L10=3,Texte!$B$214,IF(L10=2,Texte!$B$215,IF(L10=1,Texte!$B$216,Texte!$B$217))))</f>
        <v/>
      </c>
      <c r="N10" s="209"/>
      <c r="O10" s="209"/>
      <c r="P10" s="209"/>
      <c r="Q10" s="209"/>
      <c r="R10" s="209"/>
      <c r="S10" s="209"/>
      <c r="T10" s="209"/>
    </row>
    <row r="11" spans="1:20" ht="15.9" thickTop="1" thickBot="1" x14ac:dyDescent="0.4">
      <c r="A11" s="40">
        <v>7</v>
      </c>
      <c r="B11" s="204" t="str">
        <f>IF(Lumière_du_jour!B11="","",Lumière_du_jour!B11)</f>
        <v/>
      </c>
      <c r="C11" s="190"/>
      <c r="D11" s="190"/>
      <c r="E11" s="298"/>
      <c r="F11" s="299"/>
      <c r="G11" s="41" t="str">
        <f t="shared" si="2"/>
        <v/>
      </c>
      <c r="H11" s="203" t="str">
        <f t="shared" si="3"/>
        <v/>
      </c>
      <c r="I11" s="41">
        <f>Lumière_du_jour!W11</f>
        <v>0</v>
      </c>
      <c r="J11" s="41" t="str">
        <f t="shared" si="0"/>
        <v/>
      </c>
      <c r="K11" s="41">
        <f>Lumière_du_jour!S11*Lumière_du_jour!H11</f>
        <v>0</v>
      </c>
      <c r="L11" s="41" t="str">
        <f t="shared" si="1"/>
        <v/>
      </c>
      <c r="M11" s="41" t="str">
        <f>IF(L11="","",IF(L11=3,Texte!$B$214,IF(L11=2,Texte!$B$215,IF(L11=1,Texte!$B$216,Texte!$B$217))))</f>
        <v/>
      </c>
      <c r="N11" s="209"/>
      <c r="O11" s="209"/>
      <c r="P11" s="209"/>
      <c r="Q11" s="209"/>
      <c r="R11" s="209"/>
      <c r="S11" s="209"/>
      <c r="T11" s="209"/>
    </row>
    <row r="12" spans="1:20" ht="15.9" thickTop="1" thickBot="1" x14ac:dyDescent="0.4">
      <c r="A12" s="40">
        <v>8</v>
      </c>
      <c r="B12" s="204" t="str">
        <f>IF(Lumière_du_jour!B12="","",Lumière_du_jour!B12)</f>
        <v/>
      </c>
      <c r="C12" s="190"/>
      <c r="D12" s="190"/>
      <c r="E12" s="298"/>
      <c r="F12" s="299"/>
      <c r="G12" s="41" t="str">
        <f t="shared" si="2"/>
        <v/>
      </c>
      <c r="H12" s="203" t="str">
        <f t="shared" si="3"/>
        <v/>
      </c>
      <c r="I12" s="41">
        <f>Lumière_du_jour!W12</f>
        <v>0</v>
      </c>
      <c r="J12" s="41" t="str">
        <f t="shared" si="0"/>
        <v/>
      </c>
      <c r="K12" s="41">
        <f>Lumière_du_jour!S12*Lumière_du_jour!H12</f>
        <v>0</v>
      </c>
      <c r="L12" s="41" t="str">
        <f t="shared" si="1"/>
        <v/>
      </c>
      <c r="M12" s="41" t="str">
        <f>IF(L12="","",IF(L12=3,Texte!$B$214,IF(L12=2,Texte!$B$215,IF(L12=1,Texte!$B$216,Texte!$B$217))))</f>
        <v/>
      </c>
      <c r="N12" s="209"/>
      <c r="O12" s="209"/>
      <c r="P12" s="209"/>
      <c r="Q12" s="209"/>
      <c r="R12" s="209"/>
      <c r="S12" s="209"/>
      <c r="T12" s="209"/>
    </row>
    <row r="13" spans="1:20" ht="15.9" thickTop="1" thickBot="1" x14ac:dyDescent="0.4">
      <c r="A13" s="40">
        <v>9</v>
      </c>
      <c r="B13" s="204" t="str">
        <f>IF(Lumière_du_jour!B13="","",Lumière_du_jour!B13)</f>
        <v/>
      </c>
      <c r="C13" s="190"/>
      <c r="D13" s="190"/>
      <c r="E13" s="298"/>
      <c r="F13" s="299"/>
      <c r="G13" s="41" t="str">
        <f t="shared" si="2"/>
        <v/>
      </c>
      <c r="H13" s="203" t="str">
        <f t="shared" si="3"/>
        <v/>
      </c>
      <c r="I13" s="41">
        <f>Lumière_du_jour!W13</f>
        <v>0</v>
      </c>
      <c r="J13" s="41" t="str">
        <f t="shared" si="0"/>
        <v/>
      </c>
      <c r="K13" s="41">
        <f>Lumière_du_jour!S13*Lumière_du_jour!H13</f>
        <v>0</v>
      </c>
      <c r="L13" s="41" t="str">
        <f t="shared" si="1"/>
        <v/>
      </c>
      <c r="M13" s="41" t="str">
        <f>IF(L13="","",IF(L13=3,Texte!$B$214,IF(L13=2,Texte!$B$215,IF(L13=1,Texte!$B$216,Texte!$B$217))))</f>
        <v/>
      </c>
      <c r="N13" s="209"/>
      <c r="O13" s="209"/>
      <c r="P13" s="209"/>
      <c r="Q13" s="209"/>
      <c r="R13" s="209"/>
      <c r="S13" s="209"/>
      <c r="T13" s="209"/>
    </row>
    <row r="14" spans="1:20" ht="15.9" thickTop="1" thickBot="1" x14ac:dyDescent="0.4">
      <c r="A14" s="40">
        <v>10</v>
      </c>
      <c r="B14" s="204" t="str">
        <f>IF(Lumière_du_jour!B14="","",Lumière_du_jour!B14)</f>
        <v/>
      </c>
      <c r="C14" s="190"/>
      <c r="D14" s="190"/>
      <c r="E14" s="298"/>
      <c r="F14" s="299"/>
      <c r="G14" s="41" t="str">
        <f t="shared" si="2"/>
        <v/>
      </c>
      <c r="H14" s="203" t="str">
        <f t="shared" si="3"/>
        <v/>
      </c>
      <c r="I14" s="41">
        <f>Lumière_du_jour!W14</f>
        <v>0</v>
      </c>
      <c r="J14" s="41" t="str">
        <f t="shared" si="0"/>
        <v/>
      </c>
      <c r="K14" s="41">
        <f>Lumière_du_jour!S14*Lumière_du_jour!H14</f>
        <v>0</v>
      </c>
      <c r="L14" s="41" t="str">
        <f t="shared" si="1"/>
        <v/>
      </c>
      <c r="M14" s="41" t="str">
        <f>IF(L14="","",IF(L14=3,Texte!$B$214,IF(L14=2,Texte!$B$215,IF(L14=1,Texte!$B$216,Texte!$B$217))))</f>
        <v/>
      </c>
      <c r="N14" s="209"/>
      <c r="O14" s="209"/>
      <c r="P14" s="209"/>
      <c r="Q14" s="209"/>
      <c r="R14" s="209"/>
      <c r="S14" s="209"/>
      <c r="T14" s="209"/>
    </row>
    <row r="15" spans="1:20" ht="15.9" thickTop="1" thickBot="1" x14ac:dyDescent="0.4">
      <c r="A15" s="40">
        <v>11</v>
      </c>
      <c r="B15" s="204" t="str">
        <f>IF(Lumière_du_jour!B15="","",Lumière_du_jour!B15)</f>
        <v/>
      </c>
      <c r="C15" s="190"/>
      <c r="D15" s="190"/>
      <c r="E15" s="298"/>
      <c r="F15" s="299"/>
      <c r="G15" s="41" t="str">
        <f t="shared" si="2"/>
        <v/>
      </c>
      <c r="H15" s="203" t="str">
        <f t="shared" si="3"/>
        <v/>
      </c>
      <c r="I15" s="41">
        <f>Lumière_du_jour!W15</f>
        <v>0</v>
      </c>
      <c r="J15" s="41" t="str">
        <f t="shared" si="0"/>
        <v/>
      </c>
      <c r="K15" s="41">
        <f>Lumière_du_jour!S15*Lumière_du_jour!H15</f>
        <v>0</v>
      </c>
      <c r="L15" s="41" t="str">
        <f t="shared" si="1"/>
        <v/>
      </c>
      <c r="M15" s="41" t="str">
        <f>IF(L15="","",IF(L15=3,Texte!$B$214,IF(L15=2,Texte!$B$215,IF(L15=1,Texte!$B$216,Texte!$B$217))))</f>
        <v/>
      </c>
      <c r="N15" s="209"/>
      <c r="O15" s="209"/>
      <c r="P15" s="209"/>
      <c r="Q15" s="209"/>
      <c r="R15" s="209"/>
      <c r="S15" s="209"/>
      <c r="T15" s="209"/>
    </row>
    <row r="16" spans="1:20" ht="15.9" thickTop="1" thickBot="1" x14ac:dyDescent="0.4">
      <c r="A16" s="40">
        <v>12</v>
      </c>
      <c r="B16" s="204" t="str">
        <f>IF(Lumière_du_jour!B16="","",Lumière_du_jour!B16)</f>
        <v/>
      </c>
      <c r="C16" s="190"/>
      <c r="D16" s="190"/>
      <c r="E16" s="298"/>
      <c r="F16" s="299"/>
      <c r="G16" s="41" t="str">
        <f t="shared" si="2"/>
        <v/>
      </c>
      <c r="H16" s="203" t="str">
        <f t="shared" si="3"/>
        <v/>
      </c>
      <c r="I16" s="41">
        <f>Lumière_du_jour!W16</f>
        <v>0</v>
      </c>
      <c r="J16" s="41" t="str">
        <f t="shared" si="0"/>
        <v/>
      </c>
      <c r="K16" s="41">
        <f>Lumière_du_jour!S16*Lumière_du_jour!H16</f>
        <v>0</v>
      </c>
      <c r="L16" s="41" t="str">
        <f t="shared" si="1"/>
        <v/>
      </c>
      <c r="M16" s="41" t="str">
        <f>IF(L16="","",IF(L16=3,Texte!$B$214,IF(L16=2,Texte!$B$215,IF(L16=1,Texte!$B$216,Texte!$B$217))))</f>
        <v/>
      </c>
      <c r="N16" s="209"/>
      <c r="O16" s="209"/>
      <c r="P16" s="209"/>
      <c r="Q16" s="209"/>
      <c r="R16" s="209"/>
      <c r="S16" s="209"/>
      <c r="T16" s="209"/>
    </row>
    <row r="17" spans="1:20" ht="15.9" thickTop="1" thickBot="1" x14ac:dyDescent="0.4">
      <c r="A17" s="40">
        <v>13</v>
      </c>
      <c r="B17" s="204" t="str">
        <f>IF(Lumière_du_jour!B17="","",Lumière_du_jour!B17)</f>
        <v/>
      </c>
      <c r="C17" s="190"/>
      <c r="D17" s="190"/>
      <c r="E17" s="298"/>
      <c r="F17" s="299"/>
      <c r="G17" s="41" t="str">
        <f t="shared" si="2"/>
        <v/>
      </c>
      <c r="H17" s="203" t="str">
        <f t="shared" si="3"/>
        <v/>
      </c>
      <c r="I17" s="41">
        <f>Lumière_du_jour!W17</f>
        <v>0</v>
      </c>
      <c r="J17" s="41" t="str">
        <f t="shared" si="0"/>
        <v/>
      </c>
      <c r="K17" s="41">
        <f>Lumière_du_jour!S17*Lumière_du_jour!H17</f>
        <v>0</v>
      </c>
      <c r="L17" s="41" t="str">
        <f t="shared" si="1"/>
        <v/>
      </c>
      <c r="M17" s="41" t="str">
        <f>IF(L17="","",IF(L17=3,Texte!$B$214,IF(L17=2,Texte!$B$215,IF(L17=1,Texte!$B$216,Texte!$B$217))))</f>
        <v/>
      </c>
      <c r="N17" s="209"/>
      <c r="O17" s="209"/>
      <c r="P17" s="209"/>
      <c r="Q17" s="209"/>
      <c r="R17" s="209"/>
      <c r="S17" s="209"/>
      <c r="T17" s="209"/>
    </row>
    <row r="18" spans="1:20" ht="15.9" thickTop="1" thickBot="1" x14ac:dyDescent="0.4">
      <c r="A18" s="40">
        <v>14</v>
      </c>
      <c r="B18" s="204" t="str">
        <f>IF(Lumière_du_jour!B18="","",Lumière_du_jour!B18)</f>
        <v/>
      </c>
      <c r="C18" s="190"/>
      <c r="D18" s="190"/>
      <c r="E18" s="298"/>
      <c r="F18" s="299"/>
      <c r="G18" s="41" t="str">
        <f t="shared" si="2"/>
        <v/>
      </c>
      <c r="H18" s="203" t="str">
        <f t="shared" si="3"/>
        <v/>
      </c>
      <c r="I18" s="41">
        <f>Lumière_du_jour!W18</f>
        <v>0</v>
      </c>
      <c r="J18" s="41" t="str">
        <f t="shared" si="0"/>
        <v/>
      </c>
      <c r="K18" s="41">
        <f>Lumière_du_jour!S18*Lumière_du_jour!H18</f>
        <v>0</v>
      </c>
      <c r="L18" s="41" t="str">
        <f t="shared" si="1"/>
        <v/>
      </c>
      <c r="M18" s="41" t="str">
        <f>IF(L18="","",IF(L18=3,Texte!$B$214,IF(L18=2,Texte!$B$215,IF(L18=1,Texte!$B$216,Texte!$B$217))))</f>
        <v/>
      </c>
      <c r="N18" s="209"/>
      <c r="O18" s="209"/>
      <c r="P18" s="209"/>
      <c r="Q18" s="209"/>
      <c r="R18" s="209"/>
      <c r="S18" s="209"/>
      <c r="T18" s="209"/>
    </row>
    <row r="19" spans="1:20" ht="15.9" thickTop="1" thickBot="1" x14ac:dyDescent="0.4">
      <c r="A19" s="40">
        <v>15</v>
      </c>
      <c r="B19" s="204" t="str">
        <f>IF(Lumière_du_jour!B19="","",Lumière_du_jour!B19)</f>
        <v/>
      </c>
      <c r="C19" s="190"/>
      <c r="D19" s="190"/>
      <c r="E19" s="298"/>
      <c r="F19" s="299"/>
      <c r="G19" s="41" t="str">
        <f t="shared" si="2"/>
        <v/>
      </c>
      <c r="H19" s="203" t="str">
        <f t="shared" si="3"/>
        <v/>
      </c>
      <c r="I19" s="41">
        <f>Lumière_du_jour!W19</f>
        <v>0</v>
      </c>
      <c r="J19" s="41" t="str">
        <f t="shared" si="0"/>
        <v/>
      </c>
      <c r="K19" s="41">
        <f>Lumière_du_jour!S19*Lumière_du_jour!H19</f>
        <v>0</v>
      </c>
      <c r="L19" s="41" t="str">
        <f t="shared" si="1"/>
        <v/>
      </c>
      <c r="M19" s="41" t="str">
        <f>IF(L19="","",IF(L19=3,Texte!$B$214,IF(L19=2,Texte!$B$215,IF(L19=1,Texte!$B$216,Texte!$B$217))))</f>
        <v/>
      </c>
      <c r="N19" s="209"/>
      <c r="O19" s="209"/>
      <c r="P19" s="209"/>
      <c r="Q19" s="209"/>
      <c r="R19" s="209"/>
      <c r="S19" s="209"/>
      <c r="T19" s="209"/>
    </row>
    <row r="20" spans="1:20" ht="15.9" thickTop="1" thickBot="1" x14ac:dyDescent="0.4">
      <c r="A20" s="40">
        <v>16</v>
      </c>
      <c r="B20" s="204" t="str">
        <f>IF(Lumière_du_jour!B20="","",Lumière_du_jour!B20)</f>
        <v/>
      </c>
      <c r="C20" s="190"/>
      <c r="D20" s="190"/>
      <c r="E20" s="298"/>
      <c r="F20" s="299"/>
      <c r="G20" s="41" t="str">
        <f t="shared" si="2"/>
        <v/>
      </c>
      <c r="H20" s="203" t="str">
        <f t="shared" si="3"/>
        <v/>
      </c>
      <c r="I20" s="41">
        <f>Lumière_du_jour!W20</f>
        <v>0</v>
      </c>
      <c r="J20" s="41" t="str">
        <f t="shared" si="0"/>
        <v/>
      </c>
      <c r="K20" s="41">
        <f>Lumière_du_jour!S20*Lumière_du_jour!H20</f>
        <v>0</v>
      </c>
      <c r="L20" s="41" t="str">
        <f t="shared" si="1"/>
        <v/>
      </c>
      <c r="M20" s="41" t="str">
        <f>IF(L20="","",IF(L20=3,Texte!$B$214,IF(L20=2,Texte!$B$215,IF(L20=1,Texte!$B$216,Texte!$B$217))))</f>
        <v/>
      </c>
      <c r="N20" s="209"/>
      <c r="O20" s="209"/>
      <c r="P20" s="209"/>
      <c r="Q20" s="209"/>
      <c r="R20" s="209"/>
      <c r="S20" s="209"/>
      <c r="T20" s="209"/>
    </row>
    <row r="21" spans="1:20" ht="15.9" thickTop="1" thickBot="1" x14ac:dyDescent="0.4">
      <c r="A21" s="40">
        <v>17</v>
      </c>
      <c r="B21" s="204" t="str">
        <f>IF(Lumière_du_jour!B21="","",Lumière_du_jour!B21)</f>
        <v/>
      </c>
      <c r="C21" s="190"/>
      <c r="D21" s="190"/>
      <c r="E21" s="298"/>
      <c r="F21" s="299"/>
      <c r="G21" s="41" t="str">
        <f t="shared" si="2"/>
        <v/>
      </c>
      <c r="H21" s="203" t="str">
        <f t="shared" si="3"/>
        <v/>
      </c>
      <c r="I21" s="41">
        <f>Lumière_du_jour!W21</f>
        <v>0</v>
      </c>
      <c r="J21" s="41" t="str">
        <f t="shared" si="0"/>
        <v/>
      </c>
      <c r="K21" s="41">
        <f>Lumière_du_jour!S21*Lumière_du_jour!H21</f>
        <v>0</v>
      </c>
      <c r="L21" s="41" t="str">
        <f t="shared" si="1"/>
        <v/>
      </c>
      <c r="M21" s="41" t="str">
        <f>IF(L21="","",IF(L21=3,Texte!$B$214,IF(L21=2,Texte!$B$215,IF(L21=1,Texte!$B$216,Texte!$B$217))))</f>
        <v/>
      </c>
      <c r="N21" s="209"/>
      <c r="O21" s="209"/>
      <c r="P21" s="209"/>
      <c r="Q21" s="209"/>
      <c r="R21" s="209"/>
      <c r="S21" s="209"/>
      <c r="T21" s="209"/>
    </row>
    <row r="22" spans="1:20" ht="15.9" thickTop="1" thickBot="1" x14ac:dyDescent="0.4">
      <c r="A22" s="40">
        <v>18</v>
      </c>
      <c r="B22" s="204" t="str">
        <f>IF(Lumière_du_jour!B22="","",Lumière_du_jour!B22)</f>
        <v/>
      </c>
      <c r="C22" s="190"/>
      <c r="D22" s="190"/>
      <c r="E22" s="304"/>
      <c r="F22" s="305"/>
      <c r="G22" s="41" t="str">
        <f t="shared" si="2"/>
        <v/>
      </c>
      <c r="H22" s="203" t="str">
        <f t="shared" si="3"/>
        <v/>
      </c>
      <c r="I22" s="41">
        <f>Lumière_du_jour!W22</f>
        <v>0</v>
      </c>
      <c r="J22" s="41" t="str">
        <f t="shared" si="0"/>
        <v/>
      </c>
      <c r="K22" s="41">
        <f>Lumière_du_jour!S22*Lumière_du_jour!H22</f>
        <v>0</v>
      </c>
      <c r="L22" s="41" t="str">
        <f t="shared" si="1"/>
        <v/>
      </c>
      <c r="M22" s="41" t="str">
        <f>IF(L22="","",IF(L22=3,Texte!$B$214,IF(L22=2,Texte!$B$215,IF(L22=1,Texte!$B$216,Texte!$B$217))))</f>
        <v/>
      </c>
      <c r="N22" s="209"/>
      <c r="O22" s="209"/>
      <c r="P22" s="209"/>
      <c r="Q22" s="209"/>
      <c r="R22" s="209"/>
      <c r="S22" s="209"/>
      <c r="T22" s="209"/>
    </row>
    <row r="23" spans="1:20" ht="15.9" thickTop="1" thickBot="1" x14ac:dyDescent="0.4">
      <c r="A23" s="40">
        <v>19</v>
      </c>
      <c r="B23" s="204" t="str">
        <f>IF(Lumière_du_jour!B23="","",Lumière_du_jour!B23)</f>
        <v/>
      </c>
      <c r="C23" s="190"/>
      <c r="D23" s="190"/>
      <c r="E23" s="298"/>
      <c r="F23" s="299"/>
      <c r="G23" s="41" t="str">
        <f t="shared" si="2"/>
        <v/>
      </c>
      <c r="H23" s="203" t="str">
        <f t="shared" si="3"/>
        <v/>
      </c>
      <c r="I23" s="41">
        <f>Lumière_du_jour!W23</f>
        <v>0</v>
      </c>
      <c r="J23" s="41" t="str">
        <f t="shared" si="0"/>
        <v/>
      </c>
      <c r="K23" s="41">
        <f>Lumière_du_jour!S23*Lumière_du_jour!H23</f>
        <v>0</v>
      </c>
      <c r="L23" s="41" t="str">
        <f t="shared" si="1"/>
        <v/>
      </c>
      <c r="M23" s="41" t="str">
        <f>IF(L23="","",IF(L23=3,Texte!$B$214,IF(L23=2,Texte!$B$215,IF(L23=1,Texte!$B$216,Texte!$B$217))))</f>
        <v/>
      </c>
      <c r="N23" s="209"/>
      <c r="O23" s="209"/>
      <c r="P23" s="209"/>
      <c r="Q23" s="209"/>
      <c r="R23" s="209"/>
      <c r="S23" s="209"/>
      <c r="T23" s="209"/>
    </row>
    <row r="24" spans="1:20" ht="15.9" thickTop="1" thickBot="1" x14ac:dyDescent="0.4">
      <c r="A24" s="40">
        <v>20</v>
      </c>
      <c r="B24" s="204" t="str">
        <f>IF(Lumière_du_jour!B24="","",Lumière_du_jour!B24)</f>
        <v/>
      </c>
      <c r="C24" s="190"/>
      <c r="D24" s="190"/>
      <c r="E24" s="298"/>
      <c r="F24" s="299"/>
      <c r="G24" s="41" t="str">
        <f t="shared" si="2"/>
        <v/>
      </c>
      <c r="H24" s="203" t="str">
        <f t="shared" si="3"/>
        <v/>
      </c>
      <c r="I24" s="41">
        <f>Lumière_du_jour!W24</f>
        <v>0</v>
      </c>
      <c r="J24" s="41" t="str">
        <f t="shared" si="0"/>
        <v/>
      </c>
      <c r="K24" s="41">
        <f>Lumière_du_jour!S24*Lumière_du_jour!H24</f>
        <v>0</v>
      </c>
      <c r="L24" s="41" t="str">
        <f t="shared" si="1"/>
        <v/>
      </c>
      <c r="M24" s="41" t="str">
        <f>IF(L24="","",IF(L24=3,Texte!$B$214,IF(L24=2,Texte!$B$215,IF(L24=1,Texte!$B$216,Texte!$B$217))))</f>
        <v/>
      </c>
      <c r="N24" s="209"/>
      <c r="O24" s="209"/>
      <c r="P24" s="209"/>
      <c r="Q24" s="209"/>
      <c r="R24" s="209"/>
      <c r="S24" s="209"/>
      <c r="T24" s="209"/>
    </row>
    <row r="25" spans="1:20" ht="15.9" thickTop="1" thickBot="1" x14ac:dyDescent="0.4">
      <c r="A25" s="40">
        <v>21</v>
      </c>
      <c r="B25" s="204" t="str">
        <f>IF(Lumière_du_jour!B25="","",Lumière_du_jour!B25)</f>
        <v/>
      </c>
      <c r="C25" s="190"/>
      <c r="D25" s="190"/>
      <c r="E25" s="298"/>
      <c r="F25" s="299"/>
      <c r="G25" s="41" t="str">
        <f t="shared" si="2"/>
        <v/>
      </c>
      <c r="H25" s="203" t="str">
        <f t="shared" si="3"/>
        <v/>
      </c>
      <c r="I25" s="41">
        <f>Lumière_du_jour!W25</f>
        <v>0</v>
      </c>
      <c r="J25" s="41" t="str">
        <f t="shared" si="0"/>
        <v/>
      </c>
      <c r="K25" s="41">
        <f>Lumière_du_jour!S25*Lumière_du_jour!H25</f>
        <v>0</v>
      </c>
      <c r="L25" s="41" t="str">
        <f t="shared" si="1"/>
        <v/>
      </c>
      <c r="M25" s="41" t="str">
        <f>IF(L25="","",IF(L25=3,Texte!$B$214,IF(L25=2,Texte!$B$215,IF(L25=1,Texte!$B$216,Texte!$B$217))))</f>
        <v/>
      </c>
      <c r="N25" s="209"/>
      <c r="O25" s="209"/>
      <c r="P25" s="209"/>
      <c r="Q25" s="209"/>
      <c r="R25" s="209"/>
      <c r="S25" s="209"/>
      <c r="T25" s="209"/>
    </row>
    <row r="26" spans="1:20" ht="15.9" thickTop="1" thickBot="1" x14ac:dyDescent="0.4">
      <c r="A26" s="40">
        <v>22</v>
      </c>
      <c r="B26" s="204" t="str">
        <f>IF(Lumière_du_jour!B26="","",Lumière_du_jour!B26)</f>
        <v/>
      </c>
      <c r="C26" s="190"/>
      <c r="D26" s="190"/>
      <c r="E26" s="298"/>
      <c r="F26" s="299"/>
      <c r="G26" s="41" t="str">
        <f t="shared" si="2"/>
        <v/>
      </c>
      <c r="H26" s="203" t="str">
        <f t="shared" si="3"/>
        <v/>
      </c>
      <c r="I26" s="41">
        <f>Lumière_du_jour!W26</f>
        <v>0</v>
      </c>
      <c r="J26" s="41" t="str">
        <f t="shared" si="0"/>
        <v/>
      </c>
      <c r="K26" s="41">
        <f>Lumière_du_jour!S26*Lumière_du_jour!H26</f>
        <v>0</v>
      </c>
      <c r="L26" s="41" t="str">
        <f t="shared" si="1"/>
        <v/>
      </c>
      <c r="M26" s="41" t="str">
        <f>IF(L26="","",IF(L26=3,Texte!$B$214,IF(L26=2,Texte!$B$215,IF(L26=1,Texte!$B$216,Texte!$B$217))))</f>
        <v/>
      </c>
      <c r="N26" s="209"/>
      <c r="O26" s="209"/>
      <c r="P26" s="209"/>
      <c r="Q26" s="209"/>
      <c r="R26" s="209"/>
      <c r="S26" s="209"/>
      <c r="T26" s="209"/>
    </row>
    <row r="27" spans="1:20" ht="15.9" thickTop="1" thickBot="1" x14ac:dyDescent="0.4">
      <c r="A27" s="40">
        <v>23</v>
      </c>
      <c r="B27" s="204" t="str">
        <f>IF(Lumière_du_jour!B27="","",Lumière_du_jour!B27)</f>
        <v/>
      </c>
      <c r="C27" s="190"/>
      <c r="D27" s="190"/>
      <c r="E27" s="298"/>
      <c r="F27" s="299"/>
      <c r="G27" s="41" t="str">
        <f t="shared" si="2"/>
        <v/>
      </c>
      <c r="H27" s="203" t="str">
        <f t="shared" si="3"/>
        <v/>
      </c>
      <c r="I27" s="41">
        <f>Lumière_du_jour!W27</f>
        <v>0</v>
      </c>
      <c r="J27" s="41" t="str">
        <f t="shared" si="0"/>
        <v/>
      </c>
      <c r="K27" s="41">
        <f>Lumière_du_jour!S27*Lumière_du_jour!H27</f>
        <v>0</v>
      </c>
      <c r="L27" s="41" t="str">
        <f t="shared" si="1"/>
        <v/>
      </c>
      <c r="M27" s="41" t="str">
        <f>IF(L27="","",IF(L27=3,Texte!$B$214,IF(L27=2,Texte!$B$215,IF(L27=1,Texte!$B$216,Texte!$B$217))))</f>
        <v/>
      </c>
      <c r="N27" s="209"/>
      <c r="O27" s="209"/>
      <c r="P27" s="209"/>
      <c r="Q27" s="209"/>
      <c r="R27" s="209"/>
      <c r="S27" s="209"/>
      <c r="T27" s="209"/>
    </row>
    <row r="28" spans="1:20" ht="15.9" thickTop="1" thickBot="1" x14ac:dyDescent="0.4">
      <c r="A28" s="40">
        <v>24</v>
      </c>
      <c r="B28" s="204" t="str">
        <f>IF(Lumière_du_jour!B28="","",Lumière_du_jour!B28)</f>
        <v/>
      </c>
      <c r="C28" s="190"/>
      <c r="D28" s="190"/>
      <c r="E28" s="298"/>
      <c r="F28" s="299"/>
      <c r="G28" s="41" t="str">
        <f t="shared" si="2"/>
        <v/>
      </c>
      <c r="H28" s="203" t="str">
        <f t="shared" si="3"/>
        <v/>
      </c>
      <c r="I28" s="41">
        <f>Lumière_du_jour!W28</f>
        <v>0</v>
      </c>
      <c r="J28" s="41" t="str">
        <f t="shared" si="0"/>
        <v/>
      </c>
      <c r="K28" s="41">
        <f>Lumière_du_jour!S28*Lumière_du_jour!H28</f>
        <v>0</v>
      </c>
      <c r="L28" s="41" t="str">
        <f t="shared" si="1"/>
        <v/>
      </c>
      <c r="M28" s="41" t="str">
        <f>IF(L28="","",IF(L28=3,Texte!$B$214,IF(L28=2,Texte!$B$215,IF(L28=1,Texte!$B$216,Texte!$B$217))))</f>
        <v/>
      </c>
      <c r="N28" s="209"/>
      <c r="O28" s="209"/>
      <c r="P28" s="209"/>
      <c r="Q28" s="209"/>
      <c r="R28" s="209"/>
      <c r="S28" s="209"/>
      <c r="T28" s="209"/>
    </row>
    <row r="29" spans="1:20" ht="15.9" thickTop="1" thickBot="1" x14ac:dyDescent="0.4">
      <c r="A29" s="40">
        <v>25</v>
      </c>
      <c r="B29" s="204" t="str">
        <f>IF(Lumière_du_jour!B29="","",Lumière_du_jour!B29)</f>
        <v/>
      </c>
      <c r="C29" s="190"/>
      <c r="D29" s="190"/>
      <c r="E29" s="298"/>
      <c r="F29" s="299"/>
      <c r="G29" s="41" t="str">
        <f t="shared" si="2"/>
        <v/>
      </c>
      <c r="H29" s="203" t="str">
        <f t="shared" si="3"/>
        <v/>
      </c>
      <c r="I29" s="41">
        <f>Lumière_du_jour!W29</f>
        <v>0</v>
      </c>
      <c r="J29" s="41" t="str">
        <f t="shared" si="0"/>
        <v/>
      </c>
      <c r="K29" s="41">
        <f>Lumière_du_jour!S29*Lumière_du_jour!H29</f>
        <v>0</v>
      </c>
      <c r="L29" s="41" t="str">
        <f t="shared" si="1"/>
        <v/>
      </c>
      <c r="M29" s="41" t="str">
        <f>IF(L29="","",IF(L29=3,Texte!$B$214,IF(L29=2,Texte!$B$215,IF(L29=1,Texte!$B$216,Texte!$B$217))))</f>
        <v/>
      </c>
      <c r="N29" s="209"/>
      <c r="O29" s="209"/>
      <c r="P29" s="209"/>
      <c r="Q29" s="209"/>
      <c r="R29" s="209"/>
      <c r="S29" s="209"/>
      <c r="T29" s="209"/>
    </row>
    <row r="30" spans="1:20" ht="15.9" thickTop="1" thickBot="1" x14ac:dyDescent="0.4">
      <c r="A30" s="40">
        <v>26</v>
      </c>
      <c r="B30" s="204" t="str">
        <f>IF(Lumière_du_jour!B30="","",Lumière_du_jour!B30)</f>
        <v/>
      </c>
      <c r="C30" s="190"/>
      <c r="D30" s="190"/>
      <c r="E30" s="298"/>
      <c r="F30" s="299"/>
      <c r="G30" s="41" t="str">
        <f t="shared" si="2"/>
        <v/>
      </c>
      <c r="H30" s="203" t="str">
        <f t="shared" si="3"/>
        <v/>
      </c>
      <c r="I30" s="41">
        <f>Lumière_du_jour!W30</f>
        <v>0</v>
      </c>
      <c r="J30" s="41" t="str">
        <f t="shared" si="0"/>
        <v/>
      </c>
      <c r="K30" s="41">
        <f>Lumière_du_jour!S30*Lumière_du_jour!H30</f>
        <v>0</v>
      </c>
      <c r="L30" s="41" t="str">
        <f t="shared" si="1"/>
        <v/>
      </c>
      <c r="M30" s="41" t="str">
        <f>IF(L30="","",IF(L30=3,Texte!$B$214,IF(L30=2,Texte!$B$215,IF(L30=1,Texte!$B$216,Texte!$B$217))))</f>
        <v/>
      </c>
      <c r="N30" s="209"/>
      <c r="O30" s="209"/>
      <c r="P30" s="209"/>
      <c r="Q30" s="209"/>
      <c r="R30" s="209"/>
      <c r="S30" s="209"/>
      <c r="T30" s="209"/>
    </row>
    <row r="31" spans="1:20" ht="15.9" thickTop="1" thickBot="1" x14ac:dyDescent="0.4">
      <c r="A31" s="40">
        <v>27</v>
      </c>
      <c r="B31" s="204" t="str">
        <f>IF(Lumière_du_jour!B31="","",Lumière_du_jour!B31)</f>
        <v/>
      </c>
      <c r="C31" s="190"/>
      <c r="D31" s="190"/>
      <c r="E31" s="298"/>
      <c r="F31" s="299"/>
      <c r="G31" s="41" t="str">
        <f t="shared" si="2"/>
        <v/>
      </c>
      <c r="H31" s="203" t="str">
        <f t="shared" si="3"/>
        <v/>
      </c>
      <c r="I31" s="41">
        <f>Lumière_du_jour!W31</f>
        <v>0</v>
      </c>
      <c r="J31" s="41" t="str">
        <f t="shared" si="0"/>
        <v/>
      </c>
      <c r="K31" s="41">
        <f>Lumière_du_jour!S31*Lumière_du_jour!H31</f>
        <v>0</v>
      </c>
      <c r="L31" s="41" t="str">
        <f t="shared" si="1"/>
        <v/>
      </c>
      <c r="M31" s="41" t="str">
        <f>IF(L31="","",IF(L31=3,Texte!$B$214,IF(L31=2,Texte!$B$215,IF(L31=1,Texte!$B$216,Texte!$B$217))))</f>
        <v/>
      </c>
      <c r="N31" s="209"/>
      <c r="O31" s="209"/>
      <c r="P31" s="209"/>
      <c r="Q31" s="209"/>
      <c r="R31" s="209"/>
      <c r="S31" s="209"/>
      <c r="T31" s="209"/>
    </row>
    <row r="32" spans="1:20" ht="15.9" thickTop="1" thickBot="1" x14ac:dyDescent="0.4">
      <c r="A32" s="40">
        <v>28</v>
      </c>
      <c r="B32" s="204" t="str">
        <f>IF(Lumière_du_jour!B32="","",Lumière_du_jour!B32)</f>
        <v/>
      </c>
      <c r="C32" s="190"/>
      <c r="D32" s="190"/>
      <c r="E32" s="298"/>
      <c r="F32" s="299"/>
      <c r="G32" s="41" t="str">
        <f t="shared" si="2"/>
        <v/>
      </c>
      <c r="H32" s="203" t="str">
        <f t="shared" si="3"/>
        <v/>
      </c>
      <c r="I32" s="41">
        <f>Lumière_du_jour!W32</f>
        <v>0</v>
      </c>
      <c r="J32" s="41" t="str">
        <f t="shared" si="0"/>
        <v/>
      </c>
      <c r="K32" s="41">
        <f>Lumière_du_jour!S32*Lumière_du_jour!H32</f>
        <v>0</v>
      </c>
      <c r="L32" s="41" t="str">
        <f t="shared" si="1"/>
        <v/>
      </c>
      <c r="M32" s="41" t="str">
        <f>IF(L32="","",IF(L32=3,Texte!$B$214,IF(L32=2,Texte!$B$215,IF(L32=1,Texte!$B$216,Texte!$B$217))))</f>
        <v/>
      </c>
      <c r="N32" s="209"/>
      <c r="O32" s="209"/>
      <c r="P32" s="209"/>
      <c r="Q32" s="209"/>
      <c r="R32" s="209"/>
      <c r="S32" s="209"/>
      <c r="T32" s="209"/>
    </row>
    <row r="33" spans="1:20" ht="15.9" thickTop="1" thickBot="1" x14ac:dyDescent="0.4">
      <c r="A33" s="40">
        <v>29</v>
      </c>
      <c r="B33" s="204" t="str">
        <f>IF(Lumière_du_jour!B33="","",Lumière_du_jour!B33)</f>
        <v/>
      </c>
      <c r="C33" s="190"/>
      <c r="D33" s="190"/>
      <c r="E33" s="298"/>
      <c r="F33" s="299"/>
      <c r="G33" s="41" t="str">
        <f t="shared" si="2"/>
        <v/>
      </c>
      <c r="H33" s="203" t="str">
        <f t="shared" si="3"/>
        <v/>
      </c>
      <c r="I33" s="41">
        <f>Lumière_du_jour!W33</f>
        <v>0</v>
      </c>
      <c r="J33" s="41" t="str">
        <f t="shared" si="0"/>
        <v/>
      </c>
      <c r="K33" s="41">
        <f>Lumière_du_jour!S33*Lumière_du_jour!H33</f>
        <v>0</v>
      </c>
      <c r="L33" s="41" t="str">
        <f t="shared" si="1"/>
        <v/>
      </c>
      <c r="M33" s="41" t="str">
        <f>IF(L33="","",IF(L33=3,Texte!$B$214,IF(L33=2,Texte!$B$215,IF(L33=1,Texte!$B$216,Texte!$B$217))))</f>
        <v/>
      </c>
      <c r="N33" s="209"/>
      <c r="O33" s="209"/>
      <c r="P33" s="209"/>
      <c r="Q33" s="209"/>
      <c r="R33" s="209"/>
      <c r="S33" s="209"/>
      <c r="T33" s="209"/>
    </row>
    <row r="34" spans="1:20" ht="15.9" thickTop="1" thickBot="1" x14ac:dyDescent="0.4">
      <c r="A34" s="40">
        <v>30</v>
      </c>
      <c r="B34" s="204" t="str">
        <f>IF(Lumière_du_jour!B34="","",Lumière_du_jour!B34)</f>
        <v/>
      </c>
      <c r="C34" s="190"/>
      <c r="D34" s="190"/>
      <c r="E34" s="298"/>
      <c r="F34" s="299"/>
      <c r="G34" s="41" t="str">
        <f t="shared" si="2"/>
        <v/>
      </c>
      <c r="H34" s="203" t="str">
        <f t="shared" si="3"/>
        <v/>
      </c>
      <c r="I34" s="41">
        <f>Lumière_du_jour!W34</f>
        <v>0</v>
      </c>
      <c r="J34" s="41" t="str">
        <f t="shared" si="0"/>
        <v/>
      </c>
      <c r="K34" s="41">
        <f>Lumière_du_jour!S34*Lumière_du_jour!H34</f>
        <v>0</v>
      </c>
      <c r="L34" s="41" t="str">
        <f t="shared" si="1"/>
        <v/>
      </c>
      <c r="M34" s="41" t="str">
        <f>IF(L34="","",IF(L34=3,Texte!$B$214,IF(L34=2,Texte!$B$215,IF(L34=1,Texte!$B$216,Texte!$B$217))))</f>
        <v/>
      </c>
      <c r="N34" s="209"/>
      <c r="O34" s="209"/>
      <c r="P34" s="209"/>
      <c r="Q34" s="209"/>
      <c r="R34" s="209"/>
      <c r="S34" s="209"/>
      <c r="T34" s="209"/>
    </row>
    <row r="35" spans="1:20" ht="15.9" thickTop="1" thickBot="1" x14ac:dyDescent="0.4">
      <c r="A35" s="103"/>
      <c r="B35" s="103"/>
      <c r="K35" s="41">
        <f>SUM(K5:K34)</f>
        <v>0</v>
      </c>
      <c r="L35" s="41">
        <f>IFERROR(ROUND(SUMPRODUCT(L5:L34,K5:K34)/SummeRaumflaeche,1),0)</f>
        <v>0</v>
      </c>
      <c r="M35" s="41" t="str">
        <f>IF(L35="","",IF(L35&gt;=3,Texte!$B$214,IF(L35&gt;=2,Texte!$B$215,IF(L35&gt;=1,Texte!$B$216,Texte!$B$217))))</f>
        <v>insuffisant</v>
      </c>
      <c r="N35" s="209"/>
      <c r="O35" s="209"/>
      <c r="P35" s="209"/>
      <c r="Q35" s="209"/>
      <c r="R35" s="209"/>
      <c r="S35" s="209"/>
      <c r="T35" s="209"/>
    </row>
    <row r="36" spans="1:20" ht="21" customHeight="1" thickTop="1" x14ac:dyDescent="0.35">
      <c r="A36" s="94"/>
      <c r="B36" s="95" t="str">
        <f>VLOOKUP(ADDRESS(ROW(),COLUMN(),4),MatrixTexteT5,2,FALSE)</f>
        <v>Résultats</v>
      </c>
      <c r="C36" s="300" t="str">
        <f>VLOOKUP(ADDRESS(ROW(),COLUMN(),4),MatrixTexteT5,2,FALSE)</f>
        <v>Résultats de cette feuille</v>
      </c>
      <c r="D36" s="301"/>
      <c r="E36" s="165" t="str">
        <f>VLOOKUP(ADDRESS(ROW(),COLUMN(),4),MatrixTexteT5,2,FALSE)</f>
        <v>Report d'un autre justificatif</v>
      </c>
      <c r="F36" s="95"/>
      <c r="G36" s="165" t="str">
        <f>VLOOKUP(ADDRESS(ROW(),COLUMN(),4),MatrixTexteT5,2,FALSE)</f>
        <v>Résultats globaux</v>
      </c>
      <c r="H36" s="191"/>
      <c r="L36" s="165" t="s">
        <v>1093</v>
      </c>
      <c r="M36" s="191"/>
      <c r="N36" s="209"/>
      <c r="O36" s="209"/>
      <c r="P36" s="209"/>
      <c r="Q36" s="209"/>
      <c r="R36" s="209"/>
      <c r="S36" s="209"/>
      <c r="T36" s="209"/>
    </row>
    <row r="37" spans="1:20" ht="15" customHeight="1" thickBot="1" x14ac:dyDescent="0.4">
      <c r="A37" s="32"/>
      <c r="B37" s="33" t="str">
        <f>VLOOKUP(ADDRESS(ROW(),COLUMN(),4),MatrixTexteT5,2,FALSE)</f>
        <v>Déscription</v>
      </c>
      <c r="C37" s="192" t="str">
        <f>VLOOKUP(ADDRESS(ROW(),COLUMN(),4),MatrixTexteT5,2,FALSE)</f>
        <v>Surface nette</v>
      </c>
      <c r="D37" s="192" t="str">
        <f>VLOOKUP(ADDRESS(ROW(),COLUMN(),4),MatrixTexteT5,2,FALSE)</f>
        <v>Résultat</v>
      </c>
      <c r="E37" s="192" t="str">
        <f>VLOOKUP(ADDRESS(ROW(),COLUMN(),4),MatrixTexteT5,2,FALSE)</f>
        <v>Surface nette</v>
      </c>
      <c r="F37" s="192" t="str">
        <f>VLOOKUP(ADDRESS(ROW(),COLUMN(),4),MatrixTexteT5,2,FALSE)</f>
        <v>Résultat</v>
      </c>
      <c r="G37" s="192" t="str">
        <f>VLOOKUP(ADDRESS(ROW(),COLUMN(),4),MatrixTexteT5,2,FALSE)</f>
        <v>Surface nette</v>
      </c>
      <c r="H37" s="192" t="str">
        <f>VLOOKUP(ADDRESS(ROW(),COLUMN(),4),MatrixTexteT5,2,FALSE)</f>
        <v>Résultat</v>
      </c>
      <c r="L37" s="192" t="s">
        <v>1098</v>
      </c>
      <c r="M37" s="192" t="s">
        <v>1097</v>
      </c>
      <c r="N37" s="209"/>
      <c r="O37" s="209"/>
      <c r="P37" s="209"/>
      <c r="Q37" s="209"/>
      <c r="R37" s="209"/>
      <c r="S37" s="209"/>
      <c r="T37" s="209"/>
    </row>
    <row r="38" spans="1:20" ht="15.9" thickTop="1" thickBot="1" x14ac:dyDescent="0.4">
      <c r="A38" s="59"/>
      <c r="B38" s="85" t="str">
        <f>VLOOKUP(ADDRESS(ROW(),COLUMN(),4),MatrixTexteT5,2,FALSE)</f>
        <v>Qualité des vues (sur l'ensemble des locaux)</v>
      </c>
      <c r="C38" s="205">
        <f>K35</f>
        <v>0</v>
      </c>
      <c r="D38" s="202">
        <f>L35</f>
        <v>0</v>
      </c>
      <c r="E38" s="196"/>
      <c r="F38" s="200"/>
      <c r="G38" s="198">
        <f>C38+E38</f>
        <v>0</v>
      </c>
      <c r="H38" s="201" t="str">
        <f>M38</f>
        <v>insuffisant</v>
      </c>
      <c r="L38" s="41">
        <f>IFERROR(ROUND((L35*K35+F38*E38)/G38,0),0)</f>
        <v>0</v>
      </c>
      <c r="M38" s="41" t="str">
        <f>IF(L38="","",IF(L38=3,Texte!$B$214,IF(L38=2,Texte!$B$215,IF(L38=1,Texte!$B$216,Texte!$B$217))))</f>
        <v>insuffisant</v>
      </c>
      <c r="N38" s="209"/>
      <c r="O38" s="209"/>
      <c r="P38" s="209"/>
      <c r="Q38" s="209"/>
      <c r="R38" s="209"/>
      <c r="S38" s="209"/>
      <c r="T38" s="209"/>
    </row>
    <row r="39" spans="1:20" ht="15.9" thickTop="1" thickBot="1" x14ac:dyDescent="0.4">
      <c r="A39" s="59"/>
      <c r="B39" s="85" t="str">
        <f>IF(Bauvorhaben&lt;&gt;0,VLOOKUP(ADDRESS(ROW(),COLUMN(),4),MatrixTexteT5,2,FALSE)&amp;" (max. "&amp;TEXT(VLOOKUP(Bauvorhaben,MatrixBauvorhaben,2,FALSE),"0%")&amp;")",VLOOKUP(ADDRESS(ROW(),COLUMN(),4),MatrixTexteT5,2,FALSE))</f>
        <v>Part de surface avec un résultat insuffisant</v>
      </c>
      <c r="C39" s="206" cm="1">
        <f t="array" ref="C39">SUMPRODUCT((L5:L34=0)*K5:K34)</f>
        <v>0</v>
      </c>
      <c r="D39" s="195">
        <f>IFERROR(SUMPRODUCT((L5:L34=0)*K5:K34)/K35,0)</f>
        <v>0</v>
      </c>
      <c r="E39" s="197"/>
      <c r="F39" s="194"/>
      <c r="G39" s="199">
        <f>C39+E39</f>
        <v>0</v>
      </c>
      <c r="H39" s="193">
        <f>IFERROR(G39/G38,0)</f>
        <v>0</v>
      </c>
      <c r="N39" s="209"/>
      <c r="O39" s="209"/>
      <c r="P39" s="209"/>
      <c r="Q39" s="209"/>
      <c r="R39" s="209"/>
      <c r="S39" s="209"/>
      <c r="T39" s="209"/>
    </row>
    <row r="40" spans="1:20" ht="25.5" customHeight="1" thickTop="1" thickBot="1" x14ac:dyDescent="0.4">
      <c r="A40" s="183"/>
      <c r="B40" s="184" t="str">
        <f>VLOOKUP(ADDRESS(ROW(),COLUMN(),4),MatrixTexteT5,2,FALSE)</f>
        <v>Les exigences du complément ECO</v>
      </c>
      <c r="C40" s="184"/>
      <c r="D40" s="184"/>
      <c r="E40" s="184"/>
      <c r="F40" s="184"/>
      <c r="G40" s="288" t="str">
        <f>IFERROR(IF(AND(L35&gt;1,H39&lt;(VLOOKUP(Bauvorhaben,MatrixBauvorhaben,2,FALSE))),Texte!$B$219,IF(AND(L35&gt;0,H39&lt;(VLOOKUP(Bauvorhaben,MatrixBauvorhaben,2,FALSE))),Texte!$B$220,Texte!$B$221)),Texte!$B$221)</f>
        <v>ne sont pas remplies</v>
      </c>
      <c r="H40" s="288"/>
      <c r="N40" s="209"/>
      <c r="O40" s="209"/>
      <c r="P40" s="209"/>
      <c r="Q40" s="209"/>
      <c r="R40" s="209"/>
      <c r="S40" s="209"/>
      <c r="T40" s="209"/>
    </row>
    <row r="41" spans="1:20" ht="15.45" thickTop="1" x14ac:dyDescent="0.35">
      <c r="A41" s="209"/>
      <c r="B41" s="209"/>
      <c r="C41" s="209"/>
      <c r="D41" s="209"/>
      <c r="E41" s="209"/>
      <c r="F41" s="209"/>
      <c r="G41" s="209"/>
      <c r="H41" s="209"/>
      <c r="N41" s="209"/>
      <c r="O41" s="209"/>
      <c r="P41" s="209"/>
      <c r="Q41" s="209"/>
      <c r="R41" s="209"/>
      <c r="S41" s="209"/>
      <c r="T41" s="209"/>
    </row>
    <row r="42" spans="1:20" x14ac:dyDescent="0.35">
      <c r="A42" s="209"/>
      <c r="B42" s="209"/>
      <c r="C42" s="209"/>
      <c r="D42" s="209"/>
      <c r="E42" s="209"/>
      <c r="F42" s="209"/>
      <c r="G42" s="209"/>
      <c r="H42" s="209"/>
      <c r="N42" s="209"/>
      <c r="O42" s="209"/>
      <c r="P42" s="209"/>
      <c r="Q42" s="209"/>
      <c r="R42" s="209"/>
      <c r="S42" s="209"/>
      <c r="T42" s="209"/>
    </row>
    <row r="43" spans="1:20" x14ac:dyDescent="0.35">
      <c r="A43" s="209"/>
      <c r="B43" s="209"/>
      <c r="C43" s="209"/>
      <c r="D43" s="209"/>
      <c r="E43" s="209"/>
      <c r="F43" s="209"/>
      <c r="G43" s="209"/>
      <c r="H43" s="209"/>
      <c r="N43" s="209"/>
      <c r="O43" s="209"/>
      <c r="P43" s="209"/>
      <c r="Q43" s="209"/>
      <c r="R43" s="209"/>
      <c r="S43" s="209"/>
      <c r="T43" s="209"/>
    </row>
    <row r="44" spans="1:20" x14ac:dyDescent="0.35">
      <c r="A44" s="209"/>
      <c r="B44" s="209"/>
      <c r="C44" s="209"/>
      <c r="D44" s="209"/>
      <c r="E44" s="209"/>
      <c r="F44" s="209"/>
      <c r="G44" s="209"/>
      <c r="H44" s="209"/>
      <c r="N44" s="209"/>
      <c r="O44" s="209"/>
      <c r="P44" s="209"/>
      <c r="Q44" s="209"/>
      <c r="R44" s="209"/>
      <c r="S44" s="209"/>
      <c r="T44" s="209"/>
    </row>
    <row r="45" spans="1:20" x14ac:dyDescent="0.35">
      <c r="A45" s="209"/>
      <c r="B45" s="209"/>
      <c r="C45" s="209"/>
      <c r="D45" s="209"/>
      <c r="E45" s="209"/>
      <c r="F45" s="209"/>
      <c r="G45" s="209"/>
      <c r="H45" s="209"/>
      <c r="N45" s="209"/>
      <c r="O45" s="209"/>
      <c r="P45" s="209"/>
      <c r="Q45" s="209"/>
      <c r="R45" s="209"/>
      <c r="S45" s="209"/>
      <c r="T45" s="209"/>
    </row>
    <row r="46" spans="1:20" x14ac:dyDescent="0.35">
      <c r="A46" s="209"/>
      <c r="B46" s="209"/>
      <c r="C46" s="209"/>
      <c r="D46" s="209"/>
      <c r="E46" s="209"/>
      <c r="F46" s="209"/>
      <c r="G46" s="209"/>
      <c r="H46" s="209"/>
      <c r="N46" s="209"/>
      <c r="O46" s="209"/>
      <c r="P46" s="209"/>
      <c r="Q46" s="209"/>
      <c r="R46" s="209"/>
      <c r="S46" s="209"/>
      <c r="T46" s="209"/>
    </row>
    <row r="47" spans="1:20" x14ac:dyDescent="0.35">
      <c r="A47" s="209"/>
      <c r="B47" s="209"/>
      <c r="C47" s="209"/>
      <c r="D47" s="209"/>
      <c r="E47" s="209"/>
      <c r="F47" s="209"/>
      <c r="G47" s="209"/>
      <c r="H47" s="209"/>
      <c r="N47" s="209"/>
      <c r="O47" s="209"/>
      <c r="P47" s="209"/>
      <c r="Q47" s="209"/>
      <c r="R47" s="209"/>
      <c r="S47" s="209"/>
      <c r="T47" s="209"/>
    </row>
    <row r="48" spans="1:20" x14ac:dyDescent="0.35">
      <c r="A48" s="209"/>
      <c r="B48" s="209"/>
      <c r="C48" s="209"/>
      <c r="D48" s="209"/>
      <c r="E48" s="209"/>
      <c r="F48" s="209"/>
      <c r="G48" s="209"/>
      <c r="H48" s="209"/>
      <c r="N48" s="209"/>
      <c r="O48" s="209"/>
      <c r="P48" s="209"/>
      <c r="Q48" s="209"/>
      <c r="R48" s="209"/>
      <c r="S48" s="209"/>
      <c r="T48" s="209"/>
    </row>
    <row r="49" spans="1:20" x14ac:dyDescent="0.35">
      <c r="A49" s="209"/>
      <c r="B49" s="209"/>
      <c r="C49" s="209"/>
      <c r="D49" s="209"/>
      <c r="E49" s="209"/>
      <c r="F49" s="209"/>
      <c r="G49" s="209"/>
      <c r="H49" s="209"/>
      <c r="N49" s="209"/>
      <c r="O49" s="209"/>
      <c r="P49" s="209"/>
      <c r="Q49" s="209"/>
      <c r="R49" s="209"/>
      <c r="S49" s="209"/>
      <c r="T49" s="209"/>
    </row>
    <row r="50" spans="1:20" x14ac:dyDescent="0.35">
      <c r="A50" s="209"/>
      <c r="B50" s="209"/>
      <c r="C50" s="209"/>
      <c r="D50" s="209"/>
      <c r="E50" s="209"/>
      <c r="F50" s="209"/>
      <c r="G50" s="209"/>
      <c r="H50" s="209"/>
      <c r="N50" s="209"/>
      <c r="O50" s="209"/>
      <c r="P50" s="209"/>
      <c r="Q50" s="209"/>
      <c r="R50" s="209"/>
      <c r="S50" s="209"/>
      <c r="T50" s="209"/>
    </row>
    <row r="51" spans="1:20" x14ac:dyDescent="0.35">
      <c r="A51" s="209"/>
      <c r="B51" s="209"/>
      <c r="C51" s="209"/>
      <c r="D51" s="209"/>
      <c r="E51" s="209"/>
      <c r="F51" s="209"/>
      <c r="G51" s="209"/>
      <c r="H51" s="209"/>
      <c r="N51" s="209"/>
      <c r="O51" s="209"/>
      <c r="P51" s="209"/>
      <c r="Q51" s="209"/>
      <c r="R51" s="209"/>
      <c r="S51" s="209"/>
      <c r="T51" s="209"/>
    </row>
    <row r="52" spans="1:20" x14ac:dyDescent="0.35">
      <c r="A52" s="209"/>
      <c r="B52" s="209"/>
      <c r="C52" s="209"/>
      <c r="D52" s="209"/>
      <c r="E52" s="209"/>
      <c r="F52" s="209"/>
      <c r="G52" s="209"/>
      <c r="H52" s="209"/>
      <c r="N52" s="209"/>
      <c r="O52" s="209"/>
      <c r="P52" s="209"/>
      <c r="Q52" s="209"/>
      <c r="R52" s="209"/>
      <c r="S52" s="209"/>
      <c r="T52" s="209"/>
    </row>
    <row r="53" spans="1:20" x14ac:dyDescent="0.35">
      <c r="A53" s="209"/>
      <c r="B53" s="209"/>
      <c r="C53" s="209"/>
      <c r="D53" s="209"/>
      <c r="E53" s="209"/>
      <c r="F53" s="209"/>
      <c r="G53" s="209"/>
      <c r="H53" s="209"/>
      <c r="N53" s="209"/>
      <c r="O53" s="209"/>
      <c r="P53" s="209"/>
      <c r="Q53" s="209"/>
      <c r="R53" s="209"/>
      <c r="S53" s="209"/>
      <c r="T53" s="209"/>
    </row>
    <row r="54" spans="1:20" x14ac:dyDescent="0.35">
      <c r="A54" s="209"/>
      <c r="B54" s="209"/>
      <c r="C54" s="209"/>
      <c r="D54" s="209"/>
      <c r="E54" s="209"/>
      <c r="F54" s="209"/>
      <c r="G54" s="209"/>
      <c r="H54" s="209"/>
      <c r="N54" s="209"/>
      <c r="O54" s="209"/>
      <c r="P54" s="209"/>
      <c r="Q54" s="209"/>
      <c r="R54" s="209"/>
      <c r="S54" s="209"/>
      <c r="T54" s="209"/>
    </row>
    <row r="55" spans="1:20" x14ac:dyDescent="0.35">
      <c r="A55" s="209"/>
      <c r="B55" s="209"/>
      <c r="C55" s="209"/>
      <c r="D55" s="209"/>
      <c r="E55" s="209"/>
      <c r="F55" s="209"/>
      <c r="G55" s="209"/>
      <c r="H55" s="209"/>
      <c r="N55" s="209"/>
      <c r="O55" s="209"/>
      <c r="P55" s="209"/>
      <c r="Q55" s="209"/>
      <c r="R55" s="209"/>
      <c r="S55" s="209"/>
      <c r="T55" s="209"/>
    </row>
    <row r="56" spans="1:20" x14ac:dyDescent="0.35">
      <c r="A56" s="209"/>
      <c r="B56" s="209"/>
      <c r="C56" s="209"/>
      <c r="D56" s="209"/>
      <c r="E56" s="209"/>
      <c r="F56" s="209"/>
      <c r="G56" s="209"/>
      <c r="H56" s="209"/>
      <c r="N56" s="209"/>
      <c r="O56" s="209"/>
      <c r="P56" s="209"/>
      <c r="Q56" s="209"/>
      <c r="R56" s="209"/>
      <c r="S56" s="209"/>
      <c r="T56" s="209"/>
    </row>
  </sheetData>
  <sheetProtection algorithmName="SHA-512" hashValue="ldT1NlXMix6i6Vf9wF7yIj8LcOCKu0tmVfZWUEdE8paq+pksAk87xHiL4IfXNtHKXCvaUf70TWUrOMlkeAY/hQ==" saltValue="mW8vqvVs8U5TAXAvbX0XSQ==" spinCount="100000" sheet="1" objects="1" scenarios="1"/>
  <mergeCells count="36">
    <mergeCell ref="E17:F17"/>
    <mergeCell ref="E18:F18"/>
    <mergeCell ref="G40:H40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19:F19"/>
    <mergeCell ref="C36:D36"/>
    <mergeCell ref="E4:F4"/>
    <mergeCell ref="E5:F5"/>
    <mergeCell ref="E6:F6"/>
    <mergeCell ref="E7:F7"/>
    <mergeCell ref="E8:F8"/>
    <mergeCell ref="E9:F9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I3:M3"/>
    <mergeCell ref="E10:F10"/>
    <mergeCell ref="E11:F11"/>
    <mergeCell ref="E12:F12"/>
    <mergeCell ref="E13:F13"/>
    <mergeCell ref="C3:F3"/>
    <mergeCell ref="G3:H3"/>
  </mergeCells>
  <dataValidations count="120"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34" xr:uid="{00000000-0002-0000-0300-000000000000}">
      <formula1>ListAussicht</formula1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34" xr:uid="{00000000-0002-0000-0300-000001000000}">
      <formula1>0</formula1>
      <formula2>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34" xr:uid="{00000000-0002-0000-0300-000002000000}">
      <formula1>0</formula1>
      <formula2>9999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5" xr:uid="{593641BE-DA9D-4440-8A95-827BF43852A2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6" xr:uid="{F7CC2148-8EDF-478F-871B-9588F38CBA64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7" xr:uid="{E9921520-E466-4D91-B30B-4D0352599A8A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8" xr:uid="{75416C8C-779B-4BCB-ACDD-6991F0779755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9" xr:uid="{3675AD3C-22A1-42EB-85D3-9C8D41565026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0" xr:uid="{EA4D4DB5-5F1A-4A70-BA9C-DEE6E305CBA2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1" xr:uid="{73CA2664-2857-4589-BC13-F963C5E0811C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2" xr:uid="{F3C2BED8-6083-4D29-B970-6D7DE2C8B80F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3" xr:uid="{E2006EEB-A95B-4E22-9AF1-FA80C0D78CB3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4" xr:uid="{FCD11083-3F51-4B59-92A6-F8F48A15D15A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5" xr:uid="{947864EF-3A35-47BF-84D7-F6923E42DA5B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6" xr:uid="{88897561-9318-47A4-995C-CE34F654EDA3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7" xr:uid="{59700A00-C7D7-4E65-BE49-39480BA9CB59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8" xr:uid="{6ECAC313-8F6D-4CA1-8625-9D9D000312F1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19" xr:uid="{7AB3E520-F578-4FD2-9728-51FE8EC32850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0" xr:uid="{CF0998CB-6E54-49C7-8A05-97B97BEC3642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1" xr:uid="{7F97B2D0-A7EC-4686-B17A-7349596B0751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2" xr:uid="{5227AD5D-C674-43A0-9E69-4DD7C07B1F48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3" xr:uid="{863067F7-2784-4655-9FB1-2B688A482710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4" xr:uid="{4A4FC104-CD93-4D86-A66C-22A62045799E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5" xr:uid="{5AB5D5C6-A34A-4C43-8A8E-90C72BC374C5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6" xr:uid="{E4E7AABE-0E23-48B3-90F7-8EDBCDD9ECB8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7" xr:uid="{B5D23A39-3601-4D5E-9D7D-74A8F2B260BD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8" xr:uid="{1CD5CD3A-F8F3-4B83-ADCA-7ABFBE6FAE62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29" xr:uid="{01AD597B-1AE4-4854-80F7-73BB7599024C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30" xr:uid="{1FC23E2D-6B1E-4902-86D5-3A255B9348E4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31" xr:uid="{111612FB-989E-43B7-8CC4-90CDDFEB9D7A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32" xr:uid="{C831F358-845C-4D64-B549-46633C320DC8}">
      <formula1>0</formula1>
      <formula2>999</formula2>
    </dataValidation>
    <dataValidation type="decimal" allowBlank="1" showInputMessage="1" showErrorMessage="1" errorTitle="Erreur" error="Vous devez saisir des valeurs entre 0 et 999." promptTitle="Profond. de la surface utilisée" prompt="Entrez la profondeur des zones utilisées en permanence par les personnes (mesurée à partir de la façade)." sqref="C33" xr:uid="{1784170C-01E3-492A-88E8-3A1B37311AC2}">
      <formula1>0</formula1>
      <formula2>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5" xr:uid="{3BF528CC-7DAF-436D-8D11-7BBE746624E8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6" xr:uid="{CEE08864-EC1A-4984-83D3-57F77C5C9C80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7" xr:uid="{F3AA1E93-460D-4388-B365-0203828FA9DA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8" xr:uid="{873F6E2A-19BA-46AD-9315-19699ED25F94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9" xr:uid="{F5B583C9-D232-496B-9345-D2AD671DA312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10" xr:uid="{DD79B222-657E-4220-AF0C-0C079A67D84A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11" xr:uid="{FF1B2793-81D3-4079-A126-D09F190500E4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12" xr:uid="{F11E46C0-5963-4174-8B82-1CBC1CAC79F1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13" xr:uid="{BB73FF36-F520-4F88-B83B-C70AF83E5F5C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14" xr:uid="{69B2F16D-ACA8-4931-AE27-1015C000886A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15" xr:uid="{C1241AA5-FFE8-482F-87FC-6E4892D69327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16" xr:uid="{D5B3E73E-8357-433B-97F2-B3C0218890D5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17" xr:uid="{8D5E28BB-71D9-4A6A-B4A2-84F0B6CE5DAF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18" xr:uid="{9C1A1C12-2BFF-4AD2-99B7-26C53770FF02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19" xr:uid="{287ECE1D-B1EF-46C8-A1E1-163695CA9446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20" xr:uid="{5EA1F907-09B8-4B84-B185-073FD1ECEB4E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21" xr:uid="{297CC2EF-6940-4A5F-A753-42D0D6743589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22" xr:uid="{74E9DD7B-CF67-4C6F-946C-4CE1CE5F9D1A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23" xr:uid="{AEA39A64-38A0-4889-9CAA-2FE5B14E343E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24" xr:uid="{AB9174A8-2662-4450-9F53-B24562DAA093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25" xr:uid="{C308529F-5158-4364-AD06-A69AACF482AD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26" xr:uid="{25CDA0FC-F574-4480-BEBC-91BB798D28CC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27" xr:uid="{0CB84ECA-0EE9-4620-8A8F-2A39BF662EA6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28" xr:uid="{46802B49-AFA6-4F01-95AE-D341A338F43A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29" xr:uid="{F7F37D73-68E2-4C9E-86BA-9E8505C5A760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30" xr:uid="{D4EBCD31-807C-478D-8A92-34B328BA4F3A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31" xr:uid="{15515BC0-EF60-4800-8E49-BA98842AEFE8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32" xr:uid="{FA8B03C8-5A46-43F6-BD0E-30D1AE0382F3}">
      <formula1>0</formula1>
      <formula2>9999</formula2>
    </dataValidation>
    <dataValidation type="whole" allowBlank="1" showInputMessage="1" showErrorMessage="1" errorTitle="Erreur" error="Vous devez saisir des valeurs entières entre 0 et 999." promptTitle="Profondeur de la vue" prompt="Saisissez la distance jusqu'à l'objet le plus proche (mesurée à partir de la façade)." sqref="D33" xr:uid="{E46539D2-4B18-4055-B132-52CEAC310941}">
      <formula1>0</formula1>
      <formula2>9999</formula2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5" xr:uid="{42E0221D-A056-4038-9063-4772135A5465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5" xr:uid="{3DA0631F-3DB7-4EFD-A5B2-868D0F2A601B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6" xr:uid="{6E3FA9A2-62EE-48CD-8049-120A4C7555CF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6" xr:uid="{B3020E0F-EA96-4F4E-BA33-2254F8E3F674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7" xr:uid="{C7FCA337-A240-41AB-8148-4EBE40E097C3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7" xr:uid="{F062873A-F481-4D7A-A486-F642348DCAE7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8" xr:uid="{A81154CD-AD3D-48D1-8BA8-46C80B15CA1A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8" xr:uid="{7D6F1F59-1DFD-48DE-BFEB-5DA2B61B87B6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9" xr:uid="{5BEEE723-2938-4799-B36A-CBB1ABC13D43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9" xr:uid="{275DC517-0782-4244-B97F-D38DEDBDAAAA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0" xr:uid="{6997DADD-E276-415E-9DE6-8948AA5E913D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0" xr:uid="{CB68850C-EABE-4C23-8F1F-EB9F3314C506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1" xr:uid="{39E34D85-2C40-4A62-8940-B95E8ED25678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1" xr:uid="{5C33D40C-3C4D-415B-8908-74C9F1193B1F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2" xr:uid="{B04CED9B-4793-46BF-AEE9-02FB37A24A29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2" xr:uid="{AF5F1821-F7DC-4145-80B8-A0087587AEFC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3" xr:uid="{4AACDC00-389A-41FA-9ADA-70E09587705E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3" xr:uid="{A81A02D2-B877-43BD-BE77-E293722C5342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4" xr:uid="{3FFF0AB1-BB44-4A75-ABCC-3E0295503969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4" xr:uid="{D33D6531-E1E7-405F-B2A3-482C67BDF582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5" xr:uid="{0BC5D394-8100-4C2B-A2A3-CF0D77FF42A5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5" xr:uid="{D60A7CEE-3F86-4FEC-94CF-4B9A39581B91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6" xr:uid="{9D4E9468-4C2F-4A73-9668-F5C49D581454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6" xr:uid="{7CBE7D42-0C87-43BC-BC1E-E967751BE776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7" xr:uid="{1063D529-0113-47EB-A466-41ADA14DDA31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7" xr:uid="{25E5F4DB-D6BD-4DA6-8FA6-8B6F1CBBDD7B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8" xr:uid="{273524EE-9ACE-4C6E-AEB0-ED6FBFAACDF5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8" xr:uid="{7FCE95B4-30A0-47D8-932E-5F7A744B4555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19" xr:uid="{8B0794AF-B02A-4ABB-9662-B8C74FC3B123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19" xr:uid="{969B919F-B3F8-4EC3-9337-1299EC6796DB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0" xr:uid="{E764003A-1E05-4F49-8D97-FB9215610360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0" xr:uid="{3D7AF873-6763-46D7-9BEF-6C811E02DD44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1" xr:uid="{A8681C09-19BE-453C-B6E4-C1E34ED365B9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1" xr:uid="{5EB216A3-8ED1-4A06-9C09-76282386723B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2" xr:uid="{26C44990-EC1D-48E2-AAD9-392841738C68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2" xr:uid="{29E6E167-5307-4758-83DB-5B9D5EE87128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3" xr:uid="{74D2F3F9-EF28-44B1-BB4D-B6305A5AB93B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3" xr:uid="{C40FEBA0-3096-4906-948B-E3484AEC6EA5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4" xr:uid="{CF5EBC59-CBED-4FD6-A2C9-A62BED0F01EA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4" xr:uid="{78E129E0-4096-4A60-B6F6-3519E7E4844C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5" xr:uid="{CB41DE9B-0665-4009-959C-D198C336A868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5" xr:uid="{CEC35122-DA77-467E-88C4-F3C6AA461B91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6" xr:uid="{8748357D-CBF6-4B82-B5ED-4D34A36B4DC8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6" xr:uid="{62A3830C-E8C6-4CCD-8FEB-37C20AB7667A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7" xr:uid="{A6E0C5D4-8433-42E7-9F68-3274B64CB7D1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7" xr:uid="{E125F99C-DF4C-4E02-A5ED-C824F017A747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8" xr:uid="{05EC6C69-48EB-4608-86D4-53EA9F5D9014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8" xr:uid="{838ADB91-EAF5-46EB-BCF9-09EFEB4F7C2E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29" xr:uid="{E30BBB01-8C4B-4B49-8473-07F233F716A3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29" xr:uid="{A95D5081-4A7B-4933-8282-6518868AE51E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30" xr:uid="{00184B79-C856-4023-8BF5-5AACF9648A17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30" xr:uid="{C8B8FF86-75B5-42BC-8DCA-EA907726F592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31" xr:uid="{458F42D4-E47C-4713-B200-C68161891BF8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31" xr:uid="{D85F6227-734C-4715-BCDC-A66C432CF7D5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32" xr:uid="{A1ECB917-65EF-406F-BB00-7F3F2FEE20DD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32" xr:uid="{2199827D-0309-4125-BEB9-285B8CEE43A7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33" xr:uid="{631AC01E-22A7-4A8E-AF7E-246AD5E37677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F33" xr:uid="{777FAF63-9C5A-41E5-AB44-DB496B690EEB}">
      <formula1>ListAussicht</formula1>
    </dataValidation>
    <dataValidation type="list" allowBlank="1" showInputMessage="1" showErrorMessage="1" errorTitle="Erreur" error="Vous devez sélectionner un élément de la liste." promptTitle="Niveaux de vision" prompt="Sélectionnez les niveaux visibles du point le plus éloigné à une hauteur de 1,2 mètre (activité assise) ou de 1,7 mètre (activité debout) lorsque vous regardez par la fenêtre." sqref="E34" xr:uid="{20BDF99E-709F-42CA-A097-98C189FF178A}">
      <formula1>ListAussicht</formula1>
    </dataValidation>
  </dataValidations>
  <pageMargins left="0.55118110236220474" right="0.55118110236220474" top="0.43307086614173229" bottom="0" header="0.51181102362204722" footer="0.27559055118110237"/>
  <pageSetup paperSize="9" scale="75" orientation="landscape" r:id="rId1"/>
  <headerFooter>
    <oddHeader>&amp;R&amp;G</oddHeader>
    <oddFooter>&amp;L&amp;10&amp;F&amp;R&amp;10&amp;P von &amp;N</oddFooter>
  </headerFooter>
  <ignoredErrors>
    <ignoredError sqref="B39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tabColor theme="5" tint="0.39997558519241921"/>
    <pageSetUpPr fitToPage="1"/>
  </sheetPr>
  <dimension ref="A1:M89"/>
  <sheetViews>
    <sheetView showGridLines="0" zoomScaleNormal="100" workbookViewId="0">
      <selection activeCell="E5" sqref="E5"/>
    </sheetView>
  </sheetViews>
  <sheetFormatPr baseColWidth="10" defaultColWidth="11.5625" defaultRowHeight="15" x14ac:dyDescent="0.35"/>
  <cols>
    <col min="1" max="3" width="25.75" style="3" customWidth="1"/>
    <col min="4" max="4" width="15.5625" style="3" customWidth="1"/>
    <col min="5" max="5" width="20.25" style="3" customWidth="1"/>
    <col min="6" max="6" width="12.3125" style="3" customWidth="1"/>
    <col min="7" max="7" width="16.0625" style="3" customWidth="1"/>
    <col min="8" max="13" width="7.3125" style="3" customWidth="1"/>
    <col min="14" max="16384" width="11.5625" style="3"/>
  </cols>
  <sheetData>
    <row r="1" spans="1:13" ht="28.5" customHeight="1" x14ac:dyDescent="0.6">
      <c r="A1" s="114" t="str">
        <f>IF(Projektbez="","",Projektbez&amp;" – ")&amp;VLOOKUP(ADDRESS(ROW(),COLUMN(),4),MatrixTexteT4,2,FALSE)</f>
        <v>Questionnaire rénovation</v>
      </c>
      <c r="B1" s="115"/>
      <c r="C1" s="115"/>
      <c r="D1" s="115"/>
      <c r="E1" s="5"/>
      <c r="F1" s="5"/>
      <c r="G1" s="5"/>
      <c r="H1" s="5"/>
      <c r="I1" s="5"/>
      <c r="J1" s="5"/>
      <c r="K1" s="5"/>
      <c r="L1" s="5"/>
      <c r="M1" s="5"/>
    </row>
    <row r="2" spans="1:13" ht="9" customHeight="1" x14ac:dyDescent="0.35"/>
    <row r="3" spans="1:13" ht="18.75" customHeight="1" x14ac:dyDescent="0.4">
      <c r="A3" s="62" t="str">
        <f>VLOOKUP(ADDRESS(ROW(),COLUMN(),4),MatrixTexteT4,2,FALSE)</f>
        <v>Quéstions</v>
      </c>
      <c r="B3" s="66"/>
      <c r="C3" s="66"/>
      <c r="D3" s="66"/>
      <c r="E3" s="62" t="str">
        <f>VLOOKUP(ADDRESS(ROW(),COLUMN(),4),MatrixTexteT4,2,FALSE)</f>
        <v>Réponse</v>
      </c>
      <c r="F3" s="7"/>
      <c r="G3" s="7"/>
      <c r="H3" s="7"/>
      <c r="I3" s="7"/>
      <c r="J3" s="7"/>
      <c r="K3" s="7"/>
    </row>
    <row r="4" spans="1:13" s="4" customFormat="1" ht="3.75" customHeight="1" x14ac:dyDescent="0.35">
      <c r="A4" s="35"/>
      <c r="B4" s="35"/>
      <c r="C4" s="35"/>
      <c r="D4" s="35"/>
      <c r="E4" s="35"/>
      <c r="F4" s="2"/>
    </row>
    <row r="5" spans="1:13" s="4" customFormat="1" ht="16.5" customHeight="1" x14ac:dyDescent="0.3">
      <c r="A5" s="84" t="str">
        <f>VLOOKUP(ADDRESS(ROW(),COLUMN(),4),MatrixTexteT4,2,FALSE)</f>
        <v>Les ouvertures des fenêtres sont-elles maintenues ou augmentées ?</v>
      </c>
      <c r="B5" s="69"/>
      <c r="C5" s="69"/>
      <c r="D5" s="70"/>
      <c r="E5" s="71"/>
      <c r="F5" s="2"/>
    </row>
    <row r="6" spans="1:13" s="4" customFormat="1" ht="3.75" customHeight="1" x14ac:dyDescent="0.35">
      <c r="A6" s="36"/>
      <c r="B6" s="36"/>
      <c r="C6" s="36"/>
      <c r="D6" s="79"/>
      <c r="E6" s="80"/>
      <c r="F6" s="2"/>
    </row>
    <row r="7" spans="1:13" s="4" customFormat="1" ht="16.5" customHeight="1" x14ac:dyDescent="0.3">
      <c r="A7" s="84" t="str">
        <f>VLOOKUP(ADDRESS(ROW(),COLUMN(),4),MatrixTexteT4,2,FALSE)</f>
        <v>Les surfaces de vitrage sont-elles maintenues ou augmentées ?</v>
      </c>
      <c r="B7" s="69"/>
      <c r="C7" s="69"/>
      <c r="D7" s="70"/>
      <c r="E7" s="71"/>
      <c r="F7" s="2"/>
    </row>
    <row r="8" spans="1:13" s="4" customFormat="1" ht="3.75" customHeight="1" x14ac:dyDescent="0.35">
      <c r="A8" s="36"/>
      <c r="B8" s="36"/>
      <c r="C8" s="36"/>
      <c r="D8" s="79"/>
      <c r="E8" s="80"/>
      <c r="F8" s="2"/>
    </row>
    <row r="9" spans="1:13" s="4" customFormat="1" ht="16.5" customHeight="1" x14ac:dyDescent="0.3">
      <c r="A9" s="84" t="str">
        <f>VLOOKUP(ADDRESS(ROW(),COLUMN(),4),MatrixTexteT4,2,FALSE)</f>
        <v>A-t-on prêté attention, lors du choix du vitrage, à une valeur de transmission lumineuse élevée (Tau ≥ 70%) ?</v>
      </c>
      <c r="B9" s="69"/>
      <c r="C9" s="69"/>
      <c r="D9" s="70"/>
      <c r="E9" s="71"/>
      <c r="F9" s="2"/>
    </row>
    <row r="10" spans="1:13" s="4" customFormat="1" ht="3.75" customHeight="1" x14ac:dyDescent="0.35">
      <c r="A10" s="36"/>
      <c r="B10" s="36"/>
      <c r="C10" s="36"/>
      <c r="D10" s="79"/>
      <c r="E10" s="80"/>
      <c r="F10" s="2"/>
      <c r="H10" s="8"/>
      <c r="J10" s="8"/>
    </row>
    <row r="11" spans="1:13" s="4" customFormat="1" ht="16.5" customHeight="1" x14ac:dyDescent="0.3">
      <c r="A11" s="84" t="str">
        <f>VLOOKUP(ADDRESS(ROW(),COLUMN(),4),MatrixTexteT4,2,FALSE)</f>
        <v>Pas d'éléments (p.ex, les balcons, les avant-toits) construits sur la façade qui diminuent la lumière du jour ?</v>
      </c>
      <c r="B11" s="69"/>
      <c r="C11" s="69"/>
      <c r="D11" s="70"/>
      <c r="E11" s="71"/>
      <c r="F11" s="2"/>
      <c r="H11" s="11"/>
      <c r="J11" s="9"/>
    </row>
    <row r="12" spans="1:13" s="4" customFormat="1" ht="3.75" customHeight="1" x14ac:dyDescent="0.3">
      <c r="A12" s="67"/>
      <c r="B12" s="67"/>
      <c r="C12" s="67"/>
      <c r="D12" s="68"/>
      <c r="E12" s="80"/>
      <c r="F12" s="2"/>
      <c r="H12" s="12"/>
      <c r="J12" s="10"/>
    </row>
    <row r="13" spans="1:13" s="4" customFormat="1" ht="16.5" customHeight="1" x14ac:dyDescent="0.3">
      <c r="A13" s="84" t="str">
        <f>VLOOKUP(ADDRESS(ROW(),COLUMN(),4),MatrixTexteT4,2,FALSE)</f>
        <v xml:space="preserve">Les pièces (au moins les plafonds et les murs) ont-elles été peintes principalement avec des couleurs claires ? </v>
      </c>
      <c r="B13" s="69"/>
      <c r="C13" s="69"/>
      <c r="D13" s="70"/>
      <c r="E13" s="71"/>
      <c r="F13" s="2"/>
      <c r="H13" s="16"/>
    </row>
    <row r="14" spans="1:13" s="4" customFormat="1" ht="3.75" customHeight="1" x14ac:dyDescent="0.3">
      <c r="A14" s="67"/>
      <c r="B14" s="67"/>
      <c r="C14" s="67"/>
      <c r="D14" s="68"/>
      <c r="E14" s="81"/>
      <c r="F14" s="2"/>
      <c r="H14" s="16"/>
    </row>
    <row r="15" spans="1:13" s="4" customFormat="1" ht="6" customHeight="1" x14ac:dyDescent="0.3">
      <c r="A15" s="67"/>
      <c r="B15" s="67"/>
      <c r="C15" s="67"/>
      <c r="D15" s="68"/>
      <c r="E15" s="68"/>
      <c r="F15" s="2"/>
      <c r="H15" s="16"/>
    </row>
    <row r="16" spans="1:13" s="4" customFormat="1" ht="3.75" customHeight="1" x14ac:dyDescent="0.35">
      <c r="A16" s="35"/>
      <c r="B16" s="35"/>
      <c r="C16" s="35"/>
      <c r="D16" s="35"/>
      <c r="E16" s="82"/>
      <c r="F16" s="2"/>
    </row>
    <row r="17" spans="1:6" s="4" customFormat="1" ht="18.75" customHeight="1" x14ac:dyDescent="0.4">
      <c r="A17" s="62" t="str">
        <f>VLOOKUP(ADDRESS(ROW(),COLUMN(),4),MatrixTexteT4,2,FALSE)</f>
        <v>Compte-rendu</v>
      </c>
      <c r="B17" s="34"/>
      <c r="C17" s="34"/>
      <c r="D17" s="34"/>
      <c r="E17" s="34"/>
      <c r="F17" s="20"/>
    </row>
    <row r="18" spans="1:6" s="4" customFormat="1" ht="5.25" customHeight="1" x14ac:dyDescent="0.35">
      <c r="A18" s="35"/>
      <c r="B18" s="35"/>
      <c r="C18" s="35"/>
      <c r="D18" s="35"/>
      <c r="E18" s="82"/>
      <c r="F18" s="2"/>
    </row>
    <row r="19" spans="1:6" s="4" customFormat="1" ht="27.75" customHeight="1" x14ac:dyDescent="0.35">
      <c r="A19" s="308" t="str">
        <f>IF(Bauvorhaben="",Texte!$B$29,IF(Bauvorhaben=Neubau,Texte!$B$138,IF(AND(E5="",E7="",E9="",E11="",E13=""),Texte!$B$30,IF(AND(E5=Ja,E7=Ja,E9=Ja,E11=Ja,E13=Ja),Texte!$B$139,Texte!$B$140))))</f>
        <v>Saisissez d'abord les données du projet dans l'onglet 'Résumé'.</v>
      </c>
      <c r="B19" s="308"/>
      <c r="C19" s="308"/>
      <c r="D19" s="308"/>
      <c r="E19" s="308"/>
      <c r="F19" s="13"/>
    </row>
    <row r="20" spans="1:6" s="4" customFormat="1" ht="10.5" customHeight="1" x14ac:dyDescent="0.35">
      <c r="A20" s="35"/>
      <c r="B20" s="35"/>
      <c r="C20" s="35"/>
      <c r="D20" s="35"/>
      <c r="E20" s="82"/>
      <c r="F20" s="2"/>
    </row>
    <row r="21" spans="1:6" s="4" customFormat="1" ht="18.75" customHeight="1" x14ac:dyDescent="0.4">
      <c r="A21" s="62" t="str">
        <f>VLOOKUP(ADDRESS(ROW(),COLUMN(),4),MatrixTexteT4,2,FALSE)</f>
        <v>Catégorie de bâtiments (cliquez le bouton)</v>
      </c>
      <c r="B21" s="34"/>
      <c r="C21" s="34"/>
      <c r="D21" s="34"/>
      <c r="E21" s="34"/>
      <c r="F21" s="20"/>
    </row>
    <row r="22" spans="1:6" s="4" customFormat="1" ht="9" customHeight="1" x14ac:dyDescent="0.4">
      <c r="A22" s="83"/>
      <c r="B22" s="83"/>
      <c r="C22" s="83"/>
      <c r="D22" s="83"/>
      <c r="E22" s="83"/>
      <c r="F22" s="20"/>
    </row>
    <row r="23" spans="1:6" s="4" customFormat="1" ht="23.25" customHeight="1" x14ac:dyDescent="0.4">
      <c r="A23" s="179" t="str">
        <f>VLOOKUP(ADDRESS(ROW(),COLUMN(),4),MatrixTexteT4,2,FALSE)</f>
        <v>Habitat</v>
      </c>
      <c r="B23" s="180" t="str">
        <f>VLOOKUP(ADDRESS(ROW(),COLUMN(),4),MatrixTexteT4,2,FALSE)</f>
        <v>Administration</v>
      </c>
      <c r="C23" s="180" t="str">
        <f>VLOOKUP(ADDRESS(ROW(),COLUMN(),4),MatrixTexteT4,2,FALSE)</f>
        <v>École</v>
      </c>
      <c r="D23" s="309"/>
      <c r="E23" s="310"/>
      <c r="F23" s="20"/>
    </row>
    <row r="24" spans="1:6" s="4" customFormat="1" ht="6" customHeight="1" x14ac:dyDescent="0.35">
      <c r="A24" s="76"/>
      <c r="B24" s="77"/>
      <c r="C24" s="77"/>
      <c r="D24" s="78"/>
      <c r="E24" s="168"/>
      <c r="F24" s="2"/>
    </row>
    <row r="25" spans="1:6" s="6" customFormat="1" ht="87" customHeight="1" x14ac:dyDescent="0.35">
      <c r="A25" s="72" t="b">
        <f>IF($F$25=8,TRUE,FALSE)</f>
        <v>1</v>
      </c>
      <c r="B25" s="73" t="b">
        <f>IF($F$25=9,TRUE,FALSE)</f>
        <v>0</v>
      </c>
      <c r="C25" s="73" t="b">
        <f>IF($F$25=1,TRUE,FALSE)</f>
        <v>0</v>
      </c>
      <c r="D25" s="306" t="str">
        <f>VLOOKUP(ADDRESS(ROW(),COLUMN(),4),MatrixTexteT4,2,FALSE)</f>
        <v>Bâtiments avec une faible proportion de fenêtres</v>
      </c>
      <c r="E25" s="307"/>
      <c r="F25" s="25">
        <v>8</v>
      </c>
    </row>
    <row r="26" spans="1:6" s="6" customFormat="1" ht="6.75" customHeight="1" x14ac:dyDescent="0.35">
      <c r="A26" s="74"/>
      <c r="B26" s="75"/>
      <c r="C26" s="75"/>
      <c r="D26" s="181"/>
      <c r="E26" s="182"/>
      <c r="F26" s="22"/>
    </row>
    <row r="27" spans="1:6" s="6" customFormat="1" ht="87" customHeight="1" x14ac:dyDescent="0.35">
      <c r="A27" s="72" t="b">
        <f>IF($F$25=7,TRUE,FALSE)</f>
        <v>0</v>
      </c>
      <c r="B27" s="73" t="b">
        <f>IF($F$25=6,TRUE,FALSE)</f>
        <v>0</v>
      </c>
      <c r="C27" s="73" t="b">
        <f>IF($F$25=2,TRUE,FALSE)</f>
        <v>0</v>
      </c>
      <c r="D27" s="306" t="str">
        <f>VLOOKUP(ADDRESS(ROW(),COLUMN(),4),MatrixTexteT4,2,FALSE)</f>
        <v>Bâtiments avec une proportion moyenne de fenêtres</v>
      </c>
      <c r="E27" s="307"/>
      <c r="F27" s="23"/>
    </row>
    <row r="28" spans="1:6" s="6" customFormat="1" ht="6.75" customHeight="1" x14ac:dyDescent="0.35">
      <c r="A28" s="74"/>
      <c r="B28" s="75"/>
      <c r="C28" s="75"/>
      <c r="D28" s="181"/>
      <c r="E28" s="182"/>
      <c r="F28" s="22"/>
    </row>
    <row r="29" spans="1:6" s="6" customFormat="1" ht="87" customHeight="1" x14ac:dyDescent="0.35">
      <c r="A29" s="72" t="b">
        <f>IF($F$25=5,TRUE,FALSE)</f>
        <v>0</v>
      </c>
      <c r="B29" s="73" t="b">
        <f>IF($F$25=4,TRUE,FALSE)</f>
        <v>0</v>
      </c>
      <c r="C29" s="73" t="b">
        <f>IF($F$25=3,TRUE,FALSE)</f>
        <v>0</v>
      </c>
      <c r="D29" s="306" t="str">
        <f>VLOOKUP(ADDRESS(ROW(),COLUMN(),4),MatrixTexteT4,2,FALSE)</f>
        <v>Bâtiment avec une proportion élevée de fenêtres</v>
      </c>
      <c r="E29" s="307"/>
      <c r="F29" s="23"/>
    </row>
    <row r="30" spans="1:6" s="6" customFormat="1" ht="6" customHeight="1" x14ac:dyDescent="0.35">
      <c r="A30" s="35"/>
      <c r="B30" s="35"/>
      <c r="C30" s="35"/>
      <c r="D30" s="35"/>
      <c r="E30" s="82"/>
      <c r="F30" s="23"/>
    </row>
    <row r="31" spans="1:6" s="2" customFormat="1" x14ac:dyDescent="0.35">
      <c r="A31" s="35"/>
      <c r="B31" s="35"/>
      <c r="C31" s="35"/>
      <c r="D31" s="35"/>
      <c r="E31" s="35"/>
    </row>
    <row r="32" spans="1:6" s="1" customFormat="1" ht="12.45" x14ac:dyDescent="0.3"/>
    <row r="33" s="1" customFormat="1" ht="12.45" x14ac:dyDescent="0.3"/>
    <row r="34" s="1" customFormat="1" ht="12.45" x14ac:dyDescent="0.3"/>
    <row r="35" s="1" customFormat="1" ht="12.45" x14ac:dyDescent="0.3"/>
    <row r="36" s="1" customFormat="1" ht="12.45" x14ac:dyDescent="0.3"/>
    <row r="37" s="1" customFormat="1" ht="12.45" x14ac:dyDescent="0.3"/>
    <row r="38" s="1" customFormat="1" ht="12.45" x14ac:dyDescent="0.3"/>
    <row r="39" s="1" customFormat="1" ht="12.45" x14ac:dyDescent="0.3"/>
    <row r="40" s="1" customFormat="1" ht="12.45" x14ac:dyDescent="0.3"/>
    <row r="41" s="1" customFormat="1" ht="12.45" x14ac:dyDescent="0.3"/>
    <row r="42" s="1" customFormat="1" ht="12.45" x14ac:dyDescent="0.3"/>
    <row r="43" s="1" customFormat="1" ht="12.45" x14ac:dyDescent="0.3"/>
    <row r="44" s="1" customFormat="1" ht="12.45" x14ac:dyDescent="0.3"/>
    <row r="45" s="1" customFormat="1" ht="12.45" x14ac:dyDescent="0.3"/>
    <row r="46" s="1" customFormat="1" ht="12.45" x14ac:dyDescent="0.3"/>
    <row r="89" spans="1:4" x14ac:dyDescent="0.35">
      <c r="A89" s="15">
        <v>5</v>
      </c>
      <c r="B89" s="15"/>
      <c r="C89" s="15"/>
      <c r="D89" s="15"/>
    </row>
  </sheetData>
  <sheetProtection algorithmName="SHA-512" hashValue="I5gTMF1TcM+0HTUpBYX1+tYvr4p3VlS5FZjwP6bKSeCIb9oEkrUV5p22FtW4spolGP4Q1moZoNu+ziMHkqAdCQ==" saltValue="D2X3km216FzNSJHBwkZPQw==" spinCount="100000" sheet="1" objects="1" scenario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5:C29">
    <cfRule type="cellIs" dxfId="6" priority="2" stopIfTrue="1" operator="equal">
      <formula>TRUE</formula>
    </cfRule>
  </conditionalFormatting>
  <conditionalFormatting sqref="B23">
    <cfRule type="expression" dxfId="5" priority="3" stopIfTrue="1">
      <formula>OR($B$25=TRUE,$B$27=TRUE,$B$29=TRUE)</formula>
    </cfRule>
  </conditionalFormatting>
  <conditionalFormatting sqref="A23">
    <cfRule type="expression" dxfId="4" priority="4" stopIfTrue="1">
      <formula>OR($A$25=TRUE,$A$27=TRUE,$A$29=TRUE)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 xr:uid="{00000000-0002-0000-0400-000000000000}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10886</xdr:colOff>
                    <xdr:row>24</xdr:row>
                    <xdr:rowOff>402771</xdr:rowOff>
                  </from>
                  <to>
                    <xdr:col>2</xdr:col>
                    <xdr:colOff>315686</xdr:colOff>
                    <xdr:row>24</xdr:row>
                    <xdr:rowOff>620486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32657</xdr:colOff>
                    <xdr:row>26</xdr:row>
                    <xdr:rowOff>419100</xdr:rowOff>
                  </from>
                  <to>
                    <xdr:col>2</xdr:col>
                    <xdr:colOff>337457</xdr:colOff>
                    <xdr:row>26</xdr:row>
                    <xdr:rowOff>642257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10886</xdr:colOff>
                    <xdr:row>28</xdr:row>
                    <xdr:rowOff>451757</xdr:rowOff>
                  </from>
                  <to>
                    <xdr:col>2</xdr:col>
                    <xdr:colOff>315686</xdr:colOff>
                    <xdr:row>28</xdr:row>
                    <xdr:rowOff>669471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10886</xdr:colOff>
                    <xdr:row>28</xdr:row>
                    <xdr:rowOff>429986</xdr:rowOff>
                  </from>
                  <to>
                    <xdr:col>1</xdr:col>
                    <xdr:colOff>315686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642257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10886</xdr:colOff>
                    <xdr:row>26</xdr:row>
                    <xdr:rowOff>429986</xdr:rowOff>
                  </from>
                  <to>
                    <xdr:col>1</xdr:col>
                    <xdr:colOff>315686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429986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440871</xdr:rowOff>
                  </from>
                  <to>
                    <xdr:col>0</xdr:col>
                    <xdr:colOff>304800</xdr:colOff>
                    <xdr:row>24</xdr:row>
                    <xdr:rowOff>658586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680357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/>
  <dimension ref="A1:G115"/>
  <sheetViews>
    <sheetView workbookViewId="0">
      <selection activeCell="B5" sqref="B5"/>
    </sheetView>
  </sheetViews>
  <sheetFormatPr baseColWidth="10" defaultColWidth="11.5625" defaultRowHeight="11.6" x14ac:dyDescent="0.3"/>
  <cols>
    <col min="1" max="1" width="17.75" style="19" customWidth="1"/>
    <col min="2" max="2" width="20.6875" style="19" customWidth="1"/>
    <col min="3" max="3" width="11.6875" style="19" customWidth="1"/>
    <col min="4" max="4" width="14.75" style="19" customWidth="1"/>
    <col min="5" max="5" width="17.0625" style="19" customWidth="1"/>
    <col min="6" max="6" width="12.4375" style="19" bestFit="1" customWidth="1"/>
    <col min="7" max="7" width="31.875" style="19" bestFit="1" customWidth="1"/>
    <col min="8" max="8" width="12.6875" style="19" customWidth="1"/>
    <col min="9" max="18" width="9.5625" style="19" customWidth="1"/>
    <col min="19" max="16384" width="11.5625" style="19"/>
  </cols>
  <sheetData>
    <row r="1" spans="1:7" ht="22.3" x14ac:dyDescent="0.5">
      <c r="A1" s="63" t="s">
        <v>160</v>
      </c>
      <c r="B1" s="64"/>
      <c r="C1" s="64"/>
      <c r="D1" s="64"/>
      <c r="E1" s="258" t="s">
        <v>1089</v>
      </c>
    </row>
    <row r="2" spans="1:7" ht="9" customHeight="1" x14ac:dyDescent="0.5">
      <c r="A2" s="63"/>
      <c r="B2" s="64"/>
      <c r="C2" s="64"/>
      <c r="D2" s="64"/>
      <c r="E2" s="64"/>
    </row>
    <row r="3" spans="1:7" ht="12.45" x14ac:dyDescent="0.3">
      <c r="A3" s="37" t="s">
        <v>40</v>
      </c>
      <c r="B3" s="37" t="s">
        <v>472</v>
      </c>
      <c r="C3" s="37" t="s">
        <v>473</v>
      </c>
      <c r="D3" s="37" t="s">
        <v>474</v>
      </c>
      <c r="E3" s="37" t="s">
        <v>475</v>
      </c>
    </row>
    <row r="5" spans="1:7" x14ac:dyDescent="0.3">
      <c r="A5" s="17" t="s">
        <v>687</v>
      </c>
      <c r="B5" s="65" t="s">
        <v>172</v>
      </c>
      <c r="G5" s="215"/>
    </row>
    <row r="6" spans="1:7" x14ac:dyDescent="0.3">
      <c r="A6" s="17"/>
    </row>
    <row r="7" spans="1:7" x14ac:dyDescent="0.3">
      <c r="A7" s="17" t="s">
        <v>686</v>
      </c>
      <c r="B7" s="226">
        <v>2023</v>
      </c>
    </row>
    <row r="8" spans="1:7" x14ac:dyDescent="0.3">
      <c r="A8" s="17"/>
    </row>
    <row r="9" spans="1:7" x14ac:dyDescent="0.3">
      <c r="A9" s="17" t="s">
        <v>207</v>
      </c>
      <c r="B9" s="227" t="str">
        <f>Texte!$B$243</f>
        <v>Oui</v>
      </c>
      <c r="D9" s="21"/>
    </row>
    <row r="10" spans="1:7" x14ac:dyDescent="0.3">
      <c r="A10" s="17"/>
      <c r="B10" s="227" t="str">
        <f>Texte!$B$244</f>
        <v>Non</v>
      </c>
      <c r="D10" s="21"/>
    </row>
    <row r="11" spans="1:7" x14ac:dyDescent="0.3">
      <c r="A11" s="17"/>
      <c r="D11" s="21"/>
    </row>
    <row r="12" spans="1:7" x14ac:dyDescent="0.3">
      <c r="A12" s="17"/>
      <c r="D12" s="269" t="s">
        <v>1101</v>
      </c>
    </row>
    <row r="13" spans="1:7" x14ac:dyDescent="0.3">
      <c r="A13" s="17" t="s">
        <v>1014</v>
      </c>
      <c r="B13" s="19" t="str">
        <f>IF(OR(Questionnaire_rénovation!A25=TRUE,Questionnaire_rénovation!B25=TRUE,Questionnaire_rénovation!C25=TRUE),"Ja","Nein")</f>
        <v>Ja</v>
      </c>
      <c r="C13" s="21">
        <v>0.3</v>
      </c>
      <c r="D13" s="19">
        <f>IF(B13="Ja",C13,IF(B14="Ja",C14,C15))</f>
        <v>0.3</v>
      </c>
    </row>
    <row r="14" spans="1:7" x14ac:dyDescent="0.3">
      <c r="A14" s="17"/>
      <c r="B14" s="19" t="str">
        <f>IF(OR(Questionnaire_rénovation!A27=TRUE,Questionnaire_rénovation!B27=TRUE,Questionnaire_rénovation!C27=TRUE),"Ja","Nein")</f>
        <v>Nein</v>
      </c>
      <c r="C14" s="21">
        <v>0.4</v>
      </c>
      <c r="D14" s="21"/>
    </row>
    <row r="15" spans="1:7" x14ac:dyDescent="0.3">
      <c r="A15" s="17"/>
      <c r="B15" s="19" t="str">
        <f>IF(OR(Questionnaire_rénovation!A29=TRUE,Questionnaire_rénovation!B29=TRUE,Questionnaire_rénovation!C29=TRUE),"Ja","Nein")</f>
        <v>Nein</v>
      </c>
      <c r="C15" s="21">
        <v>0.5</v>
      </c>
      <c r="D15" s="21"/>
    </row>
    <row r="16" spans="1:7" x14ac:dyDescent="0.3">
      <c r="A16" s="17"/>
      <c r="D16" s="21"/>
    </row>
    <row r="17" spans="1:4" x14ac:dyDescent="0.3">
      <c r="A17" s="17"/>
      <c r="C17" s="263" t="s">
        <v>1090</v>
      </c>
      <c r="D17" s="21"/>
    </row>
    <row r="18" spans="1:4" x14ac:dyDescent="0.3">
      <c r="A18" s="260" t="s">
        <v>1033</v>
      </c>
      <c r="B18" s="261" t="str">
        <f>Texte!B223</f>
        <v>Construction nouvelle</v>
      </c>
      <c r="C18" s="262">
        <v>0.2</v>
      </c>
    </row>
    <row r="19" spans="1:4" x14ac:dyDescent="0.3">
      <c r="A19" s="261"/>
      <c r="B19" s="261" t="str">
        <f>Texte!B224</f>
        <v>Rénovation</v>
      </c>
      <c r="C19" s="262">
        <v>0.35</v>
      </c>
    </row>
    <row r="21" spans="1:4" x14ac:dyDescent="0.3">
      <c r="C21" s="263" t="s">
        <v>1091</v>
      </c>
      <c r="D21" s="263" t="s">
        <v>1092</v>
      </c>
    </row>
    <row r="22" spans="1:4" x14ac:dyDescent="0.3">
      <c r="A22" s="260" t="s">
        <v>1037</v>
      </c>
      <c r="B22" s="261" t="str">
        <f>Texte!B226</f>
        <v>Habitat collectif</v>
      </c>
      <c r="C22" s="262">
        <v>0.5</v>
      </c>
      <c r="D22" s="262">
        <v>0.7</v>
      </c>
    </row>
    <row r="23" spans="1:4" x14ac:dyDescent="0.3">
      <c r="A23" s="261"/>
      <c r="B23" s="261" t="str">
        <f>Texte!B227</f>
        <v>Habitat individuel</v>
      </c>
      <c r="C23" s="262">
        <v>0.5</v>
      </c>
      <c r="D23" s="262">
        <v>0.7</v>
      </c>
    </row>
    <row r="24" spans="1:4" x14ac:dyDescent="0.3">
      <c r="A24" s="261"/>
      <c r="B24" s="261" t="str">
        <f>Texte!B228</f>
        <v>Administration</v>
      </c>
      <c r="C24" s="262">
        <v>0.5</v>
      </c>
      <c r="D24" s="262">
        <v>0.7</v>
      </c>
    </row>
    <row r="25" spans="1:4" x14ac:dyDescent="0.3">
      <c r="A25" s="261"/>
      <c r="B25" s="261" t="str">
        <f>Texte!B229</f>
        <v>Écoles</v>
      </c>
      <c r="C25" s="262">
        <v>0.5</v>
      </c>
      <c r="D25" s="262">
        <v>0.7</v>
      </c>
    </row>
    <row r="26" spans="1:4" x14ac:dyDescent="0.3">
      <c r="A26" s="261"/>
      <c r="B26" s="261" t="str">
        <f>Texte!B230</f>
        <v>Écoles (dérogation)</v>
      </c>
      <c r="C26" s="262">
        <v>0.4</v>
      </c>
      <c r="D26" s="262">
        <v>0.7</v>
      </c>
    </row>
    <row r="27" spans="1:4" x14ac:dyDescent="0.3">
      <c r="A27" s="261"/>
      <c r="B27" s="261" t="str">
        <f>Texte!B231</f>
        <v>Commerce</v>
      </c>
      <c r="C27" s="262">
        <v>0.5</v>
      </c>
      <c r="D27" s="262">
        <v>0.7</v>
      </c>
    </row>
    <row r="28" spans="1:4" x14ac:dyDescent="0.3">
      <c r="A28" s="261"/>
      <c r="B28" s="261" t="str">
        <f>Texte!B232</f>
        <v>Restauration</v>
      </c>
      <c r="C28" s="262">
        <v>0.5</v>
      </c>
      <c r="D28" s="262">
        <v>0.7</v>
      </c>
    </row>
    <row r="29" spans="1:4" x14ac:dyDescent="0.3">
      <c r="A29" s="261"/>
      <c r="B29" s="261" t="str">
        <f>Texte!B233</f>
        <v>Lieux de rassemblement</v>
      </c>
      <c r="C29" s="262">
        <v>0.5</v>
      </c>
      <c r="D29" s="262">
        <v>0.7</v>
      </c>
    </row>
    <row r="30" spans="1:4" x14ac:dyDescent="0.3">
      <c r="A30" s="261"/>
      <c r="B30" s="261" t="str">
        <f>Texte!B234</f>
        <v>Hôpitaux</v>
      </c>
      <c r="C30" s="262">
        <v>0.5</v>
      </c>
      <c r="D30" s="262">
        <v>0.7</v>
      </c>
    </row>
    <row r="31" spans="1:4" x14ac:dyDescent="0.3">
      <c r="A31" s="261"/>
      <c r="B31" s="261" t="str">
        <f>Texte!B235</f>
        <v>Industrie</v>
      </c>
      <c r="C31" s="262">
        <v>0.5</v>
      </c>
      <c r="D31" s="262">
        <v>0.7</v>
      </c>
    </row>
    <row r="32" spans="1:4" x14ac:dyDescent="0.3">
      <c r="A32" s="261"/>
      <c r="B32" s="261" t="str">
        <f>Texte!B236</f>
        <v>Dépôts</v>
      </c>
      <c r="C32" s="262">
        <v>0.5</v>
      </c>
      <c r="D32" s="262">
        <v>0.7</v>
      </c>
    </row>
    <row r="33" spans="1:4" x14ac:dyDescent="0.3">
      <c r="A33" s="261"/>
      <c r="B33" s="261" t="str">
        <f>Texte!B237</f>
        <v>Installations sportives</v>
      </c>
      <c r="C33" s="262">
        <v>0.5</v>
      </c>
      <c r="D33" s="262">
        <v>0.7</v>
      </c>
    </row>
    <row r="34" spans="1:4" x14ac:dyDescent="0.3">
      <c r="A34" s="261"/>
      <c r="B34" s="261" t="str">
        <f>Texte!B238</f>
        <v>Piscines couvertes</v>
      </c>
      <c r="C34" s="262">
        <v>0.5</v>
      </c>
      <c r="D34" s="262">
        <v>0.7</v>
      </c>
    </row>
    <row r="36" spans="1:4" x14ac:dyDescent="0.3">
      <c r="A36" s="17" t="s">
        <v>113</v>
      </c>
      <c r="B36" s="19" t="str">
        <f>Texte!B186</f>
        <v>clair</v>
      </c>
      <c r="C36" s="19">
        <v>1</v>
      </c>
    </row>
    <row r="37" spans="1:4" x14ac:dyDescent="0.3">
      <c r="A37" s="17"/>
      <c r="B37" s="19" t="str">
        <f>Texte!B187</f>
        <v>normal</v>
      </c>
      <c r="C37" s="19">
        <v>1.1000000000000001</v>
      </c>
    </row>
    <row r="38" spans="1:4" x14ac:dyDescent="0.3">
      <c r="A38" s="17"/>
      <c r="B38" s="19" t="str">
        <f>Texte!B188</f>
        <v>sombre</v>
      </c>
      <c r="C38" s="19">
        <v>1.5</v>
      </c>
    </row>
    <row r="39" spans="1:4" x14ac:dyDescent="0.3">
      <c r="A39" s="17"/>
    </row>
    <row r="40" spans="1:4" x14ac:dyDescent="0.3">
      <c r="A40" s="17" t="s">
        <v>70</v>
      </c>
      <c r="B40" s="19" t="str">
        <f>Texte!B195</f>
        <v>Pas de protection solaire</v>
      </c>
      <c r="C40" s="19">
        <v>1</v>
      </c>
    </row>
    <row r="41" spans="1:4" x14ac:dyDescent="0.3">
      <c r="A41" s="17"/>
      <c r="B41" s="19" t="str">
        <f>Texte!B190</f>
        <v>Motorisé, automatique et à réglage des lamelles</v>
      </c>
      <c r="C41" s="19">
        <v>1</v>
      </c>
    </row>
    <row r="42" spans="1:4" x14ac:dyDescent="0.3">
      <c r="A42" s="17"/>
      <c r="B42" s="19" t="str">
        <f>Texte!B191</f>
        <v>Lamelles claires sans système de déflexion</v>
      </c>
      <c r="C42" s="19">
        <v>1.1000000000000001</v>
      </c>
    </row>
    <row r="43" spans="1:4" x14ac:dyDescent="0.3">
      <c r="A43" s="17"/>
      <c r="B43" s="19" t="str">
        <f>Texte!B192</f>
        <v>Lamelles moyennement claires ou store en tissu translucide</v>
      </c>
      <c r="C43" s="19">
        <v>1.2</v>
      </c>
    </row>
    <row r="44" spans="1:4" x14ac:dyDescent="0.3">
      <c r="A44" s="17"/>
      <c r="B44" s="19" t="str">
        <f>Texte!B193</f>
        <v>Lamelles foncées ou store en tissu peu translucide</v>
      </c>
      <c r="C44" s="19">
        <v>1.3</v>
      </c>
    </row>
    <row r="45" spans="1:4" x14ac:dyDescent="0.3">
      <c r="A45" s="17"/>
      <c r="B45" s="19" t="str">
        <f>Texte!B194</f>
        <v>Store non translucide</v>
      </c>
      <c r="C45" s="19">
        <v>1.4</v>
      </c>
    </row>
    <row r="46" spans="1:4" x14ac:dyDescent="0.3">
      <c r="A46" s="17"/>
    </row>
    <row r="47" spans="1:4" x14ac:dyDescent="0.3">
      <c r="A47" s="17" t="s">
        <v>104</v>
      </c>
      <c r="B47" s="19" t="str">
        <f>Texte!B201</f>
        <v>Pas de protection solaire</v>
      </c>
      <c r="C47" s="19">
        <v>1</v>
      </c>
    </row>
    <row r="48" spans="1:4" x14ac:dyDescent="0.3">
      <c r="A48" s="17"/>
      <c r="B48" s="19" t="str">
        <f>Texte!B196</f>
        <v>Motorisé, automatique et à guidage des lamelles</v>
      </c>
      <c r="C48" s="19">
        <v>1</v>
      </c>
    </row>
    <row r="49" spans="1:3" x14ac:dyDescent="0.3">
      <c r="B49" s="19" t="str">
        <f>Texte!B197</f>
        <v>Motorisé, automatique, tenant compte de l'ombragement</v>
      </c>
      <c r="C49" s="19">
        <v>1.1000000000000001</v>
      </c>
    </row>
    <row r="50" spans="1:3" x14ac:dyDescent="0.3">
      <c r="B50" s="19" t="str">
        <f>Texte!B198</f>
        <v>Motorisé à commande automatique</v>
      </c>
      <c r="C50" s="19">
        <v>1.2</v>
      </c>
    </row>
    <row r="51" spans="1:3" x14ac:dyDescent="0.3">
      <c r="B51" s="19" t="str">
        <f>Texte!B199</f>
        <v>Motorisé à actionnement manuel</v>
      </c>
      <c r="C51" s="19">
        <v>1.3</v>
      </c>
    </row>
    <row r="52" spans="1:3" x14ac:dyDescent="0.3">
      <c r="B52" s="19" t="str">
        <f>Texte!B200</f>
        <v>Manuel</v>
      </c>
      <c r="C52" s="19">
        <v>1.4</v>
      </c>
    </row>
    <row r="54" spans="1:3" x14ac:dyDescent="0.3">
      <c r="A54" s="17" t="s">
        <v>80</v>
      </c>
      <c r="B54" s="19" t="str">
        <f>Texte!B202</f>
        <v>Vue dégagée, pas ou peu d'ombrage dû à l'horizon</v>
      </c>
      <c r="C54" s="19">
        <v>1</v>
      </c>
    </row>
    <row r="55" spans="1:3" x14ac:dyDescent="0.3">
      <c r="B55" s="19" t="str">
        <f>Texte!B203</f>
        <v>Ombrage moyen dû à l'horizon, angle d'obstruction entre 15° et 35°</v>
      </c>
      <c r="C55" s="19">
        <v>1.2</v>
      </c>
    </row>
    <row r="56" spans="1:3" x14ac:dyDescent="0.3">
      <c r="B56" s="19" t="str">
        <f>Texte!B204</f>
        <v>Emplacement en ville, ombrage important dû à l'horizon</v>
      </c>
      <c r="C56" s="19">
        <v>1.4</v>
      </c>
    </row>
    <row r="58" spans="1:3" x14ac:dyDescent="0.3">
      <c r="A58" s="17" t="s">
        <v>792</v>
      </c>
      <c r="B58" s="19" t="str">
        <f>Texte!B206</f>
        <v>Seul paysage</v>
      </c>
      <c r="C58" s="19">
        <v>1</v>
      </c>
    </row>
    <row r="59" spans="1:3" x14ac:dyDescent="0.3">
      <c r="B59" s="19" t="str">
        <f>Texte!B207</f>
        <v>Paysage et terre</v>
      </c>
      <c r="C59" s="19">
        <v>2</v>
      </c>
    </row>
    <row r="60" spans="1:3" x14ac:dyDescent="0.3">
      <c r="B60" s="19" t="str">
        <f>Texte!B208</f>
        <v>Paysage et ciel</v>
      </c>
      <c r="C60" s="19">
        <v>2</v>
      </c>
    </row>
    <row r="61" spans="1:3" x14ac:dyDescent="0.3">
      <c r="B61" s="19" t="str">
        <f>Texte!B209</f>
        <v>Paysage, terre et ciel</v>
      </c>
      <c r="C61" s="19">
        <v>3</v>
      </c>
    </row>
    <row r="62" spans="1:3" x14ac:dyDescent="0.3">
      <c r="B62" s="19" t="str">
        <f>Texte!B210</f>
        <v>Seul terre</v>
      </c>
      <c r="C62" s="19">
        <v>0</v>
      </c>
    </row>
    <row r="63" spans="1:3" x14ac:dyDescent="0.3">
      <c r="B63" s="19" t="str">
        <f>Texte!B211</f>
        <v>Seul ciel</v>
      </c>
      <c r="C63" s="19">
        <v>0</v>
      </c>
    </row>
    <row r="64" spans="1:3" x14ac:dyDescent="0.3">
      <c r="B64" s="19" t="str">
        <f>Texte!B212</f>
        <v>terre et ciel</v>
      </c>
      <c r="C64" s="19">
        <v>0</v>
      </c>
    </row>
    <row r="66" spans="1:5" x14ac:dyDescent="0.3">
      <c r="A66" s="17" t="s">
        <v>857</v>
      </c>
      <c r="B66" s="19" t="str">
        <f>Texte!B214</f>
        <v>haut</v>
      </c>
    </row>
    <row r="67" spans="1:5" x14ac:dyDescent="0.3">
      <c r="B67" s="19" t="str">
        <f>Texte!B215</f>
        <v>moyenne</v>
      </c>
    </row>
    <row r="68" spans="1:5" x14ac:dyDescent="0.3">
      <c r="B68" s="19" t="str">
        <f>Texte!B216</f>
        <v>minimale</v>
      </c>
    </row>
    <row r="69" spans="1:5" x14ac:dyDescent="0.3">
      <c r="B69" s="19" t="str">
        <f>Texte!B217</f>
        <v>insuffisant</v>
      </c>
    </row>
    <row r="71" spans="1:5" ht="13.3" x14ac:dyDescent="0.4">
      <c r="A71" s="17" t="s">
        <v>84</v>
      </c>
      <c r="B71" s="18" t="s">
        <v>85</v>
      </c>
      <c r="C71" s="18" t="s">
        <v>96</v>
      </c>
      <c r="D71" s="18" t="s">
        <v>97</v>
      </c>
      <c r="E71" s="18" t="s">
        <v>98</v>
      </c>
    </row>
    <row r="72" spans="1:5" ht="12.45" x14ac:dyDescent="0.3">
      <c r="B72" s="14" t="str">
        <f>Texte!B151</f>
        <v>Halle d'exposition</v>
      </c>
      <c r="C72" s="19">
        <v>300</v>
      </c>
      <c r="D72" s="19">
        <v>2</v>
      </c>
      <c r="E72" s="19">
        <f t="shared" ref="E72:E105" si="0">ROUND(C72*D72,-1)</f>
        <v>600</v>
      </c>
    </row>
    <row r="73" spans="1:5" ht="12.45" x14ac:dyDescent="0.3">
      <c r="B73" s="14" t="str">
        <f>Texte!B152</f>
        <v>Locaux médicaux</v>
      </c>
      <c r="C73" s="19">
        <v>500</v>
      </c>
      <c r="D73" s="19">
        <v>1.5</v>
      </c>
      <c r="E73" s="19">
        <f t="shared" si="0"/>
        <v>750</v>
      </c>
    </row>
    <row r="74" spans="1:5" ht="12.45" x14ac:dyDescent="0.3">
      <c r="B74" s="14" t="str">
        <f>Texte!B153</f>
        <v>Chambre d'hôpital</v>
      </c>
      <c r="C74" s="19">
        <v>100</v>
      </c>
      <c r="D74" s="19">
        <v>3</v>
      </c>
      <c r="E74" s="19">
        <f t="shared" si="0"/>
        <v>300</v>
      </c>
    </row>
    <row r="75" spans="1:5" ht="12.45" x14ac:dyDescent="0.3">
      <c r="B75" s="14" t="str">
        <f>Texte!B154</f>
        <v>Bibliothèque</v>
      </c>
      <c r="C75" s="19">
        <v>200</v>
      </c>
      <c r="D75" s="19">
        <v>1.5</v>
      </c>
      <c r="E75" s="19">
        <f t="shared" si="0"/>
        <v>300</v>
      </c>
    </row>
    <row r="76" spans="1:5" ht="12.45" x14ac:dyDescent="0.3">
      <c r="B76" s="14" t="str">
        <f>Texte!B155</f>
        <v>Bureau individuel, collectif</v>
      </c>
      <c r="C76" s="19">
        <v>500</v>
      </c>
      <c r="D76" s="19">
        <v>1</v>
      </c>
      <c r="E76" s="19">
        <f t="shared" si="0"/>
        <v>500</v>
      </c>
    </row>
    <row r="77" spans="1:5" ht="12.45" x14ac:dyDescent="0.3">
      <c r="B77" s="14" t="str">
        <f>Texte!B156</f>
        <v>Magasin spécialisé</v>
      </c>
      <c r="C77" s="19">
        <v>300</v>
      </c>
      <c r="D77" s="19">
        <v>2.5</v>
      </c>
      <c r="E77" s="19">
        <f t="shared" si="0"/>
        <v>750</v>
      </c>
    </row>
    <row r="78" spans="1:5" ht="12.45" x14ac:dyDescent="0.3">
      <c r="B78" s="14" t="str">
        <f>Texte!B157</f>
        <v>Salle de fitness</v>
      </c>
      <c r="C78" s="19">
        <v>300</v>
      </c>
      <c r="D78" s="19">
        <v>1</v>
      </c>
      <c r="E78" s="19">
        <f t="shared" si="0"/>
        <v>300</v>
      </c>
    </row>
    <row r="79" spans="1:5" ht="12.45" x14ac:dyDescent="0.3">
      <c r="B79" s="14" t="str">
        <f>Texte!B158</f>
        <v>Bureau paysagé</v>
      </c>
      <c r="C79" s="19">
        <v>500</v>
      </c>
      <c r="D79" s="19">
        <v>1</v>
      </c>
      <c r="E79" s="19">
        <f t="shared" si="0"/>
        <v>500</v>
      </c>
    </row>
    <row r="80" spans="1:5" ht="12.45" x14ac:dyDescent="0.3">
      <c r="B80" s="14" t="str">
        <f>Texte!B159</f>
        <v>Auditoire</v>
      </c>
      <c r="C80" s="19">
        <v>500</v>
      </c>
      <c r="D80" s="19">
        <v>1</v>
      </c>
      <c r="E80" s="19">
        <f t="shared" si="0"/>
        <v>500</v>
      </c>
    </row>
    <row r="81" spans="2:5" ht="12.45" x14ac:dyDescent="0.3">
      <c r="B81" s="14" t="str">
        <f>Texte!B160</f>
        <v>Réception, zone d'accueil</v>
      </c>
      <c r="C81" s="19">
        <v>100</v>
      </c>
      <c r="D81" s="19">
        <v>3</v>
      </c>
      <c r="E81" s="19">
        <f t="shared" si="0"/>
        <v>300</v>
      </c>
    </row>
    <row r="82" spans="2:5" ht="12.45" x14ac:dyDescent="0.3">
      <c r="B82" s="14" t="str">
        <f>Texte!B161</f>
        <v>Chambre d'hôtel</v>
      </c>
      <c r="C82" s="19">
        <v>50</v>
      </c>
      <c r="D82" s="19">
        <v>6</v>
      </c>
      <c r="E82" s="19">
        <f t="shared" si="0"/>
        <v>300</v>
      </c>
    </row>
    <row r="83" spans="2:5" ht="12.45" x14ac:dyDescent="0.3">
      <c r="B83" s="14" t="str">
        <f>Texte!B162</f>
        <v>Cuisine de restaurant self-service</v>
      </c>
      <c r="C83" s="19">
        <v>500</v>
      </c>
      <c r="D83" s="19">
        <v>1</v>
      </c>
      <c r="E83" s="19">
        <f t="shared" si="0"/>
        <v>500</v>
      </c>
    </row>
    <row r="84" spans="2:5" ht="12.45" x14ac:dyDescent="0.3">
      <c r="B84" s="14" t="str">
        <f>Texte!B163</f>
        <v>Cuisine de restaurant</v>
      </c>
      <c r="C84" s="19">
        <v>500</v>
      </c>
      <c r="D84" s="19">
        <v>1</v>
      </c>
      <c r="E84" s="19">
        <f t="shared" si="0"/>
        <v>500</v>
      </c>
    </row>
    <row r="85" spans="2:5" ht="12.45" x14ac:dyDescent="0.3">
      <c r="B85" s="14" t="str">
        <f>Texte!B164</f>
        <v>Cuisine, cuisine d'étage</v>
      </c>
      <c r="C85" s="19">
        <v>200</v>
      </c>
      <c r="D85" s="19">
        <v>1</v>
      </c>
      <c r="E85" s="19">
        <f t="shared" si="0"/>
        <v>200</v>
      </c>
    </row>
    <row r="86" spans="2:5" ht="12.45" x14ac:dyDescent="0.3">
      <c r="B86" s="14" t="str">
        <f>Texte!B165</f>
        <v>Laboratoire</v>
      </c>
      <c r="C86" s="19">
        <v>500</v>
      </c>
      <c r="D86" s="19">
        <v>1</v>
      </c>
      <c r="E86" s="19">
        <f t="shared" si="0"/>
        <v>500</v>
      </c>
    </row>
    <row r="87" spans="2:5" ht="12.45" x14ac:dyDescent="0.3">
      <c r="B87" s="14" t="str">
        <f>Texte!B166</f>
        <v>Magasin d'alimentation</v>
      </c>
      <c r="C87" s="19">
        <v>300</v>
      </c>
      <c r="D87" s="19">
        <v>2.5</v>
      </c>
      <c r="E87" s="19">
        <f t="shared" si="0"/>
        <v>750</v>
      </c>
    </row>
    <row r="88" spans="2:5" ht="12.45" x14ac:dyDescent="0.3">
      <c r="B88" s="14" t="str">
        <f>Texte!B167</f>
        <v>Salle des maîtres/ lieu de séjour</v>
      </c>
      <c r="C88" s="19">
        <v>300</v>
      </c>
      <c r="D88" s="19">
        <v>1</v>
      </c>
      <c r="E88" s="19">
        <f t="shared" si="0"/>
        <v>300</v>
      </c>
    </row>
    <row r="89" spans="2:5" ht="12.45" x14ac:dyDescent="0.3">
      <c r="B89" s="14" t="str">
        <f>Texte!B168</f>
        <v>Salle polyvalente</v>
      </c>
      <c r="C89" s="19">
        <v>300</v>
      </c>
      <c r="D89" s="19">
        <v>1</v>
      </c>
      <c r="E89" s="19">
        <f t="shared" si="0"/>
        <v>300</v>
      </c>
    </row>
    <row r="90" spans="2:5" ht="12.45" x14ac:dyDescent="0.3">
      <c r="B90" s="14" t="str">
        <f>Texte!B169</f>
        <v>Production (travail fin)</v>
      </c>
      <c r="C90" s="19">
        <v>500</v>
      </c>
      <c r="D90" s="19">
        <v>1</v>
      </c>
      <c r="E90" s="19">
        <f t="shared" si="0"/>
        <v>500</v>
      </c>
    </row>
    <row r="91" spans="2:5" ht="12.45" x14ac:dyDescent="0.3">
      <c r="B91" s="14" t="str">
        <f>Texte!B170</f>
        <v>Production (travail lourd)</v>
      </c>
      <c r="C91" s="19">
        <v>300</v>
      </c>
      <c r="D91" s="19">
        <v>1</v>
      </c>
      <c r="E91" s="19">
        <f t="shared" si="0"/>
        <v>300</v>
      </c>
    </row>
    <row r="92" spans="2:5" ht="12.45" x14ac:dyDescent="0.3">
      <c r="B92" s="14" t="str">
        <f>Texte!B171</f>
        <v>Restaurant</v>
      </c>
      <c r="C92" s="19">
        <v>200</v>
      </c>
      <c r="D92" s="19">
        <v>1.5</v>
      </c>
      <c r="E92" s="19">
        <f t="shared" si="0"/>
        <v>300</v>
      </c>
    </row>
    <row r="93" spans="2:5" ht="12.45" x14ac:dyDescent="0.3">
      <c r="B93" s="14" t="str">
        <f>Texte!B172</f>
        <v>Hall des guichets, zone clientèle</v>
      </c>
      <c r="C93" s="19">
        <v>200</v>
      </c>
      <c r="D93" s="19">
        <v>1.5</v>
      </c>
      <c r="E93" s="19">
        <f t="shared" si="0"/>
        <v>300</v>
      </c>
    </row>
    <row r="94" spans="2:5" ht="12.45" x14ac:dyDescent="0.3">
      <c r="B94" s="14" t="str">
        <f>Texte!B173</f>
        <v>Salle d'école spéciale</v>
      </c>
      <c r="C94" s="19">
        <v>500</v>
      </c>
      <c r="D94" s="19">
        <v>1</v>
      </c>
      <c r="E94" s="19">
        <f t="shared" si="0"/>
        <v>500</v>
      </c>
    </row>
    <row r="95" spans="2:5" ht="12.45" x14ac:dyDescent="0.3">
      <c r="B95" s="14" t="str">
        <f>Texte!B174</f>
        <v>Salle d'école</v>
      </c>
      <c r="C95" s="19">
        <v>500</v>
      </c>
      <c r="D95" s="19">
        <v>1</v>
      </c>
      <c r="E95" s="19">
        <f t="shared" si="0"/>
        <v>500</v>
      </c>
    </row>
    <row r="96" spans="2:5" ht="12.45" x14ac:dyDescent="0.3">
      <c r="B96" s="14" t="str">
        <f>Texte!B175</f>
        <v>Piscine couverte (en surface)</v>
      </c>
      <c r="C96" s="19">
        <v>300</v>
      </c>
      <c r="D96" s="19">
        <v>1</v>
      </c>
      <c r="E96" s="19">
        <f t="shared" si="0"/>
        <v>300</v>
      </c>
    </row>
    <row r="97" spans="1:5" ht="12.45" x14ac:dyDescent="0.3">
      <c r="B97" s="14" t="str">
        <f>Texte!B176</f>
        <v>Piscine couverte (souterrain)</v>
      </c>
      <c r="C97" s="19">
        <v>100</v>
      </c>
      <c r="D97" s="19">
        <v>1</v>
      </c>
      <c r="E97" s="19">
        <v>100</v>
      </c>
    </row>
    <row r="98" spans="1:5" ht="12.45" x14ac:dyDescent="0.3">
      <c r="B98" s="14" t="str">
        <f>Texte!B177</f>
        <v>Restaurant self-service</v>
      </c>
      <c r="C98" s="19">
        <v>200</v>
      </c>
      <c r="D98" s="19">
        <v>1.5</v>
      </c>
      <c r="E98" s="19">
        <f t="shared" si="0"/>
        <v>300</v>
      </c>
    </row>
    <row r="99" spans="1:5" ht="12.45" x14ac:dyDescent="0.3">
      <c r="B99" s="14" t="str">
        <f>Texte!B178</f>
        <v>Salle de réunion</v>
      </c>
      <c r="C99" s="19">
        <v>500</v>
      </c>
      <c r="D99" s="19">
        <v>1</v>
      </c>
      <c r="E99" s="19">
        <f t="shared" si="0"/>
        <v>500</v>
      </c>
    </row>
    <row r="100" spans="1:5" ht="12.45" x14ac:dyDescent="0.3">
      <c r="B100" s="14" t="str">
        <f>Texte!B179</f>
        <v>Bureau de service hospitalier</v>
      </c>
      <c r="C100" s="19">
        <v>300</v>
      </c>
      <c r="D100" s="19">
        <v>1.667</v>
      </c>
      <c r="E100" s="19">
        <f t="shared" si="0"/>
        <v>500</v>
      </c>
    </row>
    <row r="101" spans="1:5" ht="12.45" x14ac:dyDescent="0.3">
      <c r="B101" s="14" t="str">
        <f>Texte!B180</f>
        <v>Salle de gymnastique (en surface)</v>
      </c>
      <c r="C101" s="19">
        <v>300</v>
      </c>
      <c r="D101" s="19">
        <v>1.667</v>
      </c>
      <c r="E101" s="19">
        <f t="shared" si="0"/>
        <v>500</v>
      </c>
    </row>
    <row r="102" spans="1:5" ht="12.45" x14ac:dyDescent="0.3">
      <c r="B102" s="14" t="str">
        <f>Texte!B181</f>
        <v>Salle de gymnastique (souterrain)</v>
      </c>
      <c r="C102" s="19">
        <v>100</v>
      </c>
      <c r="D102" s="19">
        <v>1.667</v>
      </c>
      <c r="E102" s="19">
        <v>170</v>
      </c>
    </row>
    <row r="103" spans="1:5" ht="12.45" x14ac:dyDescent="0.3">
      <c r="B103" s="14" t="str">
        <f>Texte!B182</f>
        <v>Magasin de meubles, bricolage et jardin</v>
      </c>
      <c r="C103" s="19">
        <v>300</v>
      </c>
      <c r="D103" s="19">
        <v>2</v>
      </c>
      <c r="E103" s="19">
        <f t="shared" si="0"/>
        <v>600</v>
      </c>
    </row>
    <row r="104" spans="1:5" ht="12.45" x14ac:dyDescent="0.3">
      <c r="B104" s="14" t="str">
        <f>Texte!B183</f>
        <v>Salle de spectacle</v>
      </c>
      <c r="C104" s="19">
        <v>300</v>
      </c>
      <c r="D104" s="19">
        <v>1</v>
      </c>
      <c r="E104" s="19">
        <f t="shared" si="0"/>
        <v>300</v>
      </c>
    </row>
    <row r="105" spans="1:5" ht="12.45" x14ac:dyDescent="0.3">
      <c r="B105" s="14" t="str">
        <f>Texte!B184</f>
        <v>Séjour, chambre à coucher</v>
      </c>
      <c r="C105" s="19">
        <v>50</v>
      </c>
      <c r="D105" s="19">
        <v>2</v>
      </c>
      <c r="E105" s="19">
        <f t="shared" si="0"/>
        <v>100</v>
      </c>
    </row>
    <row r="107" spans="1:5" x14ac:dyDescent="0.3">
      <c r="A107" s="265" t="s">
        <v>127</v>
      </c>
      <c r="B107" s="268" t="s">
        <v>128</v>
      </c>
      <c r="C107" s="268">
        <v>0.7</v>
      </c>
      <c r="D107" s="268">
        <v>100</v>
      </c>
      <c r="E107" s="268" t="str">
        <f>Texte!$B$219</f>
        <v>sont bien remplies</v>
      </c>
    </row>
    <row r="108" spans="1:5" x14ac:dyDescent="0.3">
      <c r="A108" s="265"/>
      <c r="B108" s="268" t="s">
        <v>129</v>
      </c>
      <c r="C108" s="268">
        <v>0.5</v>
      </c>
      <c r="D108" s="268">
        <f>Gut</f>
        <v>0.7</v>
      </c>
      <c r="E108" s="268" t="str">
        <f>Texte!$B$220</f>
        <v>sont remplies</v>
      </c>
    </row>
    <row r="109" spans="1:5" x14ac:dyDescent="0.3">
      <c r="A109" s="265"/>
      <c r="B109" s="268" t="s">
        <v>130</v>
      </c>
      <c r="C109" s="268">
        <v>0</v>
      </c>
      <c r="D109" s="268">
        <f>Befriedigend</f>
        <v>0.5</v>
      </c>
      <c r="E109" s="268" t="str">
        <f>Texte!$B$221</f>
        <v>ne sont pas remplies</v>
      </c>
    </row>
    <row r="110" spans="1:5" x14ac:dyDescent="0.3">
      <c r="A110" s="17"/>
    </row>
    <row r="111" spans="1:5" x14ac:dyDescent="0.3">
      <c r="A111" s="265" t="s">
        <v>132</v>
      </c>
      <c r="B111" s="266">
        <f>IF(OR(Nutzung="Schulen (Ausnahmeregelung)",Nutzung="Écoles (dérogation)",Nutzung="Scuole (esenzione)",Nutzung="Schools (exemption)"),0.4,0.5)</f>
        <v>0.5</v>
      </c>
    </row>
    <row r="112" spans="1:5" x14ac:dyDescent="0.3">
      <c r="A112" s="17"/>
    </row>
    <row r="113" spans="1:2" x14ac:dyDescent="0.3">
      <c r="A113" s="265" t="s">
        <v>133</v>
      </c>
      <c r="B113" s="267">
        <f>IF(OR(Bauvorhaben="Erneuerung",Bauvorhaben="Rénovation",Bauvorhaben="Ammodernamento",Bauvorhaben="Renovation"),0.35,0.2)</f>
        <v>0.2</v>
      </c>
    </row>
    <row r="114" spans="1:2" x14ac:dyDescent="0.3">
      <c r="A114" s="17"/>
    </row>
    <row r="115" spans="1:2" x14ac:dyDescent="0.3">
      <c r="A115" s="17" t="s">
        <v>134</v>
      </c>
      <c r="B115" s="228" t="str">
        <f>"V"&amp;VersionNr</f>
        <v>V2023.2</v>
      </c>
    </row>
  </sheetData>
  <sheetProtection algorithmName="SHA-512" hashValue="73zEwoF+RTapIFMko5kKZQBxxBT2NP96Xhq6lbYZAminv/0gqCTNPk3iCNyBSvZVHnY4MyhEOI80b6fj9Ot7Yg==" saltValue="W2pX2F1SkoLXzkH4EK3+cg==" spinCount="100000" sheet="1" objects="1" scenarios="1"/>
  <phoneticPr fontId="15" type="noConversion"/>
  <dataValidations count="1">
    <dataValidation type="list" allowBlank="1" showInputMessage="1" showErrorMessage="1" sqref="B5" xr:uid="{00000000-0002-0000-0500-000000000000}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3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136071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G378"/>
  <sheetViews>
    <sheetView zoomScaleNormal="100" workbookViewId="0"/>
  </sheetViews>
  <sheetFormatPr baseColWidth="10" defaultColWidth="11.5625" defaultRowHeight="12.45" x14ac:dyDescent="0.3"/>
  <cols>
    <col min="1" max="1" width="11.4375" style="26" customWidth="1"/>
    <col min="2" max="6" width="21.75" style="26" customWidth="1"/>
    <col min="7" max="16384" width="11.5625" style="26"/>
  </cols>
  <sheetData>
    <row r="1" spans="1:6" ht="22.3" x14ac:dyDescent="0.5">
      <c r="A1" s="63" t="s">
        <v>161</v>
      </c>
    </row>
    <row r="2" spans="1:6" ht="9" customHeight="1" x14ac:dyDescent="0.3"/>
    <row r="3" spans="1:6" x14ac:dyDescent="0.3">
      <c r="A3" s="37" t="s">
        <v>173</v>
      </c>
      <c r="B3" s="37"/>
      <c r="C3" s="37"/>
      <c r="D3" s="37"/>
      <c r="E3" s="37"/>
      <c r="F3" s="37"/>
    </row>
    <row r="4" spans="1:6" x14ac:dyDescent="0.3">
      <c r="A4" s="37" t="s">
        <v>162</v>
      </c>
      <c r="B4" s="37" t="s">
        <v>163</v>
      </c>
      <c r="C4" s="37" t="s">
        <v>44</v>
      </c>
      <c r="D4" s="37" t="s">
        <v>172</v>
      </c>
      <c r="E4" s="37" t="s">
        <v>45</v>
      </c>
      <c r="F4" s="37" t="s">
        <v>46</v>
      </c>
    </row>
    <row r="5" spans="1:6" x14ac:dyDescent="0.3">
      <c r="A5" s="26" t="s">
        <v>165</v>
      </c>
      <c r="B5" s="26" t="str">
        <f t="shared" ref="B5:B39" si="0">INDEX($C5:$F5,1,MATCH(Sprachwahl,ListSprache,0))</f>
        <v>Outil de lumière du jour ECO</v>
      </c>
      <c r="C5" s="26" t="s">
        <v>932</v>
      </c>
      <c r="D5" s="26" t="s">
        <v>933</v>
      </c>
      <c r="E5" s="26" t="s">
        <v>934</v>
      </c>
      <c r="F5" s="26" t="s">
        <v>935</v>
      </c>
    </row>
    <row r="6" spans="1:6" x14ac:dyDescent="0.3">
      <c r="A6" s="26" t="s">
        <v>900</v>
      </c>
      <c r="B6" s="26" t="str">
        <f t="shared" si="0"/>
        <v>A utiliser jusqu'à 31.12.2026</v>
      </c>
      <c r="C6" s="26" t="s">
        <v>999</v>
      </c>
      <c r="D6" s="26" t="s">
        <v>1000</v>
      </c>
      <c r="E6" s="217" t="s">
        <v>1032</v>
      </c>
      <c r="F6" s="26" t="s">
        <v>1001</v>
      </c>
    </row>
    <row r="7" spans="1:6" x14ac:dyDescent="0.3">
      <c r="A7" s="26" t="s">
        <v>164</v>
      </c>
      <c r="B7" s="26" t="str">
        <f t="shared" si="0"/>
        <v>Objet</v>
      </c>
      <c r="C7" s="26" t="s">
        <v>39</v>
      </c>
      <c r="D7" s="26" t="s">
        <v>213</v>
      </c>
      <c r="E7" s="26" t="s">
        <v>299</v>
      </c>
      <c r="F7" s="26" t="s">
        <v>319</v>
      </c>
    </row>
    <row r="8" spans="1:6" x14ac:dyDescent="0.3">
      <c r="A8" s="26" t="s">
        <v>166</v>
      </c>
      <c r="B8" s="26" t="str">
        <f t="shared" si="0"/>
        <v>Projet</v>
      </c>
      <c r="C8" s="26" t="s">
        <v>47</v>
      </c>
      <c r="D8" s="26" t="s">
        <v>214</v>
      </c>
      <c r="E8" s="26" t="s">
        <v>300</v>
      </c>
      <c r="F8" s="26" t="s">
        <v>320</v>
      </c>
    </row>
    <row r="9" spans="1:6" x14ac:dyDescent="0.3">
      <c r="A9" s="26" t="s">
        <v>167</v>
      </c>
      <c r="B9" s="26" t="str">
        <f t="shared" si="0"/>
        <v>Projet de construction</v>
      </c>
      <c r="C9" s="259" t="s">
        <v>1033</v>
      </c>
      <c r="D9" s="259" t="s">
        <v>1035</v>
      </c>
      <c r="E9" s="259" t="s">
        <v>1034</v>
      </c>
      <c r="F9" s="259" t="s">
        <v>1036</v>
      </c>
    </row>
    <row r="10" spans="1:6" x14ac:dyDescent="0.3">
      <c r="A10" s="26" t="s">
        <v>168</v>
      </c>
      <c r="B10" s="26" t="str">
        <f t="shared" si="0"/>
        <v>Utilisation</v>
      </c>
      <c r="C10" s="259" t="s">
        <v>1037</v>
      </c>
      <c r="D10" s="259" t="s">
        <v>1038</v>
      </c>
      <c r="E10" s="259" t="s">
        <v>1039</v>
      </c>
      <c r="F10" s="259" t="s">
        <v>1040</v>
      </c>
    </row>
    <row r="11" spans="1:6" x14ac:dyDescent="0.3">
      <c r="A11" s="26" t="s">
        <v>1130</v>
      </c>
      <c r="B11" s="26" t="str">
        <f t="shared" si="0"/>
        <v>Choisissez l'utilisation qui représente la plus grande surface.</v>
      </c>
      <c r="C11" s="259" t="s">
        <v>1131</v>
      </c>
      <c r="D11" s="259" t="s">
        <v>1133</v>
      </c>
      <c r="E11" s="259" t="s">
        <v>1134</v>
      </c>
      <c r="F11" s="259" t="s">
        <v>1132</v>
      </c>
    </row>
    <row r="12" spans="1:6" x14ac:dyDescent="0.3">
      <c r="A12" s="26" t="s">
        <v>1116</v>
      </c>
      <c r="B12" s="26" t="str">
        <f t="shared" si="0"/>
        <v>Maître de l'ouvrage</v>
      </c>
      <c r="C12" s="26" t="s">
        <v>23</v>
      </c>
      <c r="D12" s="26" t="s">
        <v>215</v>
      </c>
      <c r="E12" s="26" t="s">
        <v>321</v>
      </c>
      <c r="F12" s="217" t="s">
        <v>1007</v>
      </c>
    </row>
    <row r="13" spans="1:6" x14ac:dyDescent="0.3">
      <c r="A13" s="26" t="s">
        <v>169</v>
      </c>
      <c r="B13" s="26" t="str">
        <f t="shared" si="0"/>
        <v>Architecte</v>
      </c>
      <c r="C13" s="26" t="s">
        <v>3</v>
      </c>
      <c r="D13" s="26" t="s">
        <v>216</v>
      </c>
      <c r="E13" s="26" t="s">
        <v>301</v>
      </c>
      <c r="F13" s="26" t="s">
        <v>322</v>
      </c>
    </row>
    <row r="14" spans="1:6" x14ac:dyDescent="0.3">
      <c r="A14" s="26" t="s">
        <v>1119</v>
      </c>
      <c r="B14" s="26" t="str">
        <f t="shared" si="0"/>
        <v>Planificateur électricité</v>
      </c>
      <c r="C14" s="26" t="s">
        <v>4</v>
      </c>
      <c r="D14" s="26" t="s">
        <v>217</v>
      </c>
      <c r="E14" s="26" t="s">
        <v>302</v>
      </c>
      <c r="F14" s="26" t="s">
        <v>323</v>
      </c>
    </row>
    <row r="15" spans="1:6" x14ac:dyDescent="0.3">
      <c r="A15" s="26" t="s">
        <v>170</v>
      </c>
      <c r="B15" s="26" t="str">
        <f t="shared" si="0"/>
        <v>Planificateur éclairage</v>
      </c>
      <c r="C15" s="26" t="s">
        <v>6</v>
      </c>
      <c r="D15" s="26" t="s">
        <v>218</v>
      </c>
      <c r="E15" s="26" t="s">
        <v>303</v>
      </c>
      <c r="F15" s="26" t="s">
        <v>324</v>
      </c>
    </row>
    <row r="16" spans="1:6" x14ac:dyDescent="0.3">
      <c r="A16" s="26" t="s">
        <v>1117</v>
      </c>
      <c r="B16" s="26" t="str">
        <f t="shared" si="0"/>
        <v>Auteur du justificatif</v>
      </c>
      <c r="C16" s="26" t="s">
        <v>5</v>
      </c>
      <c r="D16" s="217" t="s">
        <v>936</v>
      </c>
      <c r="E16" s="26" t="s">
        <v>304</v>
      </c>
      <c r="F16" s="26" t="s">
        <v>470</v>
      </c>
    </row>
    <row r="17" spans="1:6" x14ac:dyDescent="0.3">
      <c r="A17" s="26" t="s">
        <v>1118</v>
      </c>
      <c r="B17" s="26" t="str">
        <f t="shared" si="0"/>
        <v>Date</v>
      </c>
      <c r="C17" s="26" t="s">
        <v>2</v>
      </c>
      <c r="D17" s="26" t="s">
        <v>219</v>
      </c>
      <c r="E17" s="26" t="s">
        <v>305</v>
      </c>
      <c r="F17" s="26" t="s">
        <v>219</v>
      </c>
    </row>
    <row r="18" spans="1:6" x14ac:dyDescent="0.3">
      <c r="A18" s="26" t="s">
        <v>1120</v>
      </c>
      <c r="B18" s="26" t="str">
        <f t="shared" si="0"/>
        <v>Récapitulation des résultats pour la lumière du jour</v>
      </c>
      <c r="C18" s="26" t="s">
        <v>880</v>
      </c>
      <c r="D18" s="217" t="s">
        <v>937</v>
      </c>
      <c r="E18" s="26" t="s">
        <v>881</v>
      </c>
      <c r="F18" s="26" t="s">
        <v>882</v>
      </c>
    </row>
    <row r="19" spans="1:6" x14ac:dyDescent="0.3">
      <c r="A19" s="26" t="s">
        <v>1041</v>
      </c>
      <c r="B19" s="26" t="str">
        <f t="shared" si="0"/>
        <v>Surface totale de tous les locaux saisis</v>
      </c>
      <c r="C19" s="26" t="s">
        <v>135</v>
      </c>
      <c r="D19" s="217" t="s">
        <v>938</v>
      </c>
      <c r="E19" s="26" t="s">
        <v>307</v>
      </c>
      <c r="F19" s="26" t="s">
        <v>326</v>
      </c>
    </row>
    <row r="20" spans="1:6" x14ac:dyDescent="0.3">
      <c r="A20" s="26" t="s">
        <v>1121</v>
      </c>
      <c r="B20" s="26" t="str">
        <f t="shared" si="0"/>
        <v xml:space="preserve">Surface avec un résultat insuffisant </v>
      </c>
      <c r="C20" s="26" t="s">
        <v>137</v>
      </c>
      <c r="D20" s="26" t="s">
        <v>220</v>
      </c>
      <c r="E20" s="26" t="s">
        <v>308</v>
      </c>
      <c r="F20" s="26" t="s">
        <v>327</v>
      </c>
    </row>
    <row r="21" spans="1:6" x14ac:dyDescent="0.3">
      <c r="A21" s="26" t="s">
        <v>1122</v>
      </c>
      <c r="B21" s="26" t="str">
        <f t="shared" si="0"/>
        <v>Les exigences du complément ECO</v>
      </c>
      <c r="C21" s="217" t="s">
        <v>1003</v>
      </c>
      <c r="D21" s="217" t="s">
        <v>1004</v>
      </c>
      <c r="E21" s="217" t="s">
        <v>1005</v>
      </c>
      <c r="F21" s="217" t="s">
        <v>1006</v>
      </c>
    </row>
    <row r="22" spans="1:6" x14ac:dyDescent="0.3">
      <c r="A22" s="26" t="s">
        <v>1123</v>
      </c>
      <c r="B22" s="26" t="str">
        <f t="shared" si="0"/>
        <v>Plateforme des labels : si rempli min. 50% transféré.</v>
      </c>
      <c r="C22" s="217" t="s">
        <v>1085</v>
      </c>
      <c r="D22" s="217" t="s">
        <v>1087</v>
      </c>
      <c r="E22" s="217" t="s">
        <v>1086</v>
      </c>
      <c r="F22" s="217" t="s">
        <v>1088</v>
      </c>
    </row>
    <row r="23" spans="1:6" x14ac:dyDescent="0.3">
      <c r="A23" s="26" t="s">
        <v>1127</v>
      </c>
      <c r="B23" s="26" t="str">
        <f>INDEX($C23:$F23,1,MATCH(Sprachwahl,ListSprache,0))</f>
        <v>Récapitulation des résultats pour les vues</v>
      </c>
      <c r="C23" s="26" t="s">
        <v>892</v>
      </c>
      <c r="D23" s="217" t="s">
        <v>939</v>
      </c>
      <c r="E23" s="26" t="s">
        <v>902</v>
      </c>
      <c r="F23" s="26" t="s">
        <v>903</v>
      </c>
    </row>
    <row r="24" spans="1:6" x14ac:dyDescent="0.3">
      <c r="A24" s="26" t="s">
        <v>1010</v>
      </c>
      <c r="B24" s="26" t="str">
        <f t="shared" si="0"/>
        <v>Surface totale de tous les locaux saisis</v>
      </c>
      <c r="C24" s="26" t="s">
        <v>135</v>
      </c>
      <c r="D24" s="217" t="s">
        <v>938</v>
      </c>
      <c r="E24" s="26" t="s">
        <v>307</v>
      </c>
      <c r="F24" s="26" t="s">
        <v>326</v>
      </c>
    </row>
    <row r="25" spans="1:6" x14ac:dyDescent="0.3">
      <c r="A25" s="26" t="s">
        <v>1128</v>
      </c>
      <c r="B25" s="26" t="str">
        <f t="shared" si="0"/>
        <v xml:space="preserve">Surface avec un résultat insuffisant </v>
      </c>
      <c r="C25" s="26" t="s">
        <v>137</v>
      </c>
      <c r="D25" s="26" t="s">
        <v>220</v>
      </c>
      <c r="E25" s="26" t="s">
        <v>308</v>
      </c>
      <c r="F25" s="26" t="s">
        <v>327</v>
      </c>
    </row>
    <row r="26" spans="1:6" x14ac:dyDescent="0.3">
      <c r="A26" s="26" t="s">
        <v>1129</v>
      </c>
      <c r="B26" s="26" t="str">
        <f t="shared" si="0"/>
        <v>Les exigences du complément ECO</v>
      </c>
      <c r="C26" s="217" t="s">
        <v>1003</v>
      </c>
      <c r="D26" s="217" t="s">
        <v>1004</v>
      </c>
      <c r="E26" s="217" t="s">
        <v>1005</v>
      </c>
      <c r="F26" s="217" t="s">
        <v>1006</v>
      </c>
    </row>
    <row r="27" spans="1:6" x14ac:dyDescent="0.3">
      <c r="A27" s="26" t="s">
        <v>1125</v>
      </c>
      <c r="B27" s="26" t="str">
        <f t="shared" si="0"/>
        <v>Procédé</v>
      </c>
      <c r="C27" s="26" t="s">
        <v>139</v>
      </c>
      <c r="D27" s="26" t="s">
        <v>221</v>
      </c>
      <c r="E27" s="26" t="s">
        <v>309</v>
      </c>
      <c r="F27" s="26" t="s">
        <v>328</v>
      </c>
    </row>
    <row r="28" spans="1:6" x14ac:dyDescent="0.3">
      <c r="A28" s="26" t="s">
        <v>1126</v>
      </c>
      <c r="B28" s="26" t="str">
        <f t="shared" si="0"/>
        <v xml:space="preserve">Un manuel détaillé est disponible sur le site internet de Minergie.   </v>
      </c>
      <c r="C28" s="26" t="s">
        <v>249</v>
      </c>
      <c r="D28" s="217" t="s">
        <v>940</v>
      </c>
      <c r="E28" s="26" t="s">
        <v>941</v>
      </c>
      <c r="F28" s="26" t="s">
        <v>942</v>
      </c>
    </row>
    <row r="29" spans="1:6" x14ac:dyDescent="0.3">
      <c r="A29" s="26" t="s">
        <v>887</v>
      </c>
      <c r="B29" s="26" t="str">
        <f t="shared" si="0"/>
        <v>Saisissez d'abord les données du projet dans l'onglet 'Résumé'.</v>
      </c>
      <c r="C29" s="26" t="s">
        <v>1135</v>
      </c>
      <c r="D29" s="217" t="s">
        <v>1136</v>
      </c>
      <c r="E29" s="26" t="s">
        <v>1137</v>
      </c>
      <c r="F29" s="26" t="s">
        <v>1138</v>
      </c>
    </row>
    <row r="30" spans="1:6" x14ac:dyDescent="0.3">
      <c r="A30" s="26" t="s">
        <v>1043</v>
      </c>
      <c r="B30" s="26" t="str">
        <f t="shared" si="0"/>
        <v>Si le projet est une rénovation veuillez remplir l'onglet 'Questionnaire_rénovation'.</v>
      </c>
      <c r="C30" s="217" t="str">
        <f>"Falls es sich beim Projekt um eine Erneuerung handelt, füllen Sie das Blatt '"&amp;SheetQuestionaire&amp;"' aus."</f>
        <v>Falls es sich beim Projekt um eine Erneuerung handelt, füllen Sie das Blatt 'Questionnaire_rénovation' aus.</v>
      </c>
      <c r="D30" s="217" t="str">
        <f>"Si le projet est une rénovation veuillez remplir l'onglet '"&amp;SheetQuestionaire&amp;"'."</f>
        <v>Si le projet est une rénovation veuillez remplir l'onglet 'Questionnaire_rénovation'.</v>
      </c>
      <c r="E30" s="217" t="str">
        <f>"Se il progetto è un rinnovo, compilare il foglio '"&amp;SheetQuestionaire&amp;"' ."</f>
        <v>Se il progetto è un rinnovo, compilare il foglio 'Questionnaire_rénovation' .</v>
      </c>
      <c r="F30" s="217" t="str">
        <f>"If the project is a renovation, complete the sheet '"&amp;SheetQuestionaire&amp;"'."</f>
        <v>If the project is a renovation, complete the sheet 'Questionnaire_rénovation'.</v>
      </c>
    </row>
    <row r="31" spans="1:6" x14ac:dyDescent="0.3">
      <c r="A31" s="26" t="s">
        <v>888</v>
      </c>
      <c r="B31" s="26" t="str">
        <f t="shared" si="0"/>
        <v>Si le projet est une nouvelle contruction, veuillez ouvrir l'onglet 'Fenêtres'.</v>
      </c>
      <c r="C31" s="217" t="str">
        <f>"Falls es sich beim Projekt um einen Neubau handelt, gehen Sie zum Blatt '"&amp;SheetWindow&amp;"'."</f>
        <v>Falls es sich beim Projekt um einen Neubau handelt, gehen Sie zum Blatt 'Fenêtres'.</v>
      </c>
      <c r="D31" s="217" t="str">
        <f>"Si le projet est une nouvelle contruction, veuillez ouvrir l'onglet '"&amp;SheetWindow&amp;"'."</f>
        <v>Si le projet est une nouvelle contruction, veuillez ouvrir l'onglet 'Fenêtres'.</v>
      </c>
      <c r="E31" s="217" t="str">
        <f>"Se il progetto è un nuovo edificio, andare al foglio '"&amp;SheetWindow&amp;"'."</f>
        <v>Se il progetto è un nuovo edificio, andare al foglio 'Fenêtres'.</v>
      </c>
      <c r="F31" s="26" t="str">
        <f>"If the project is a new building, select the sheet '"&amp;SheetWindow&amp;"'."</f>
        <v>If the project is a new building, select the sheet 'Fenêtres'.</v>
      </c>
    </row>
    <row r="32" spans="1:6" x14ac:dyDescent="0.3">
      <c r="A32" s="26" t="s">
        <v>889</v>
      </c>
      <c r="B32" s="26" t="str">
        <f t="shared" si="0"/>
        <v>Saisissez ensuite les données des fenêtres du bâtiment dans le tableau 'Fenêtres'.</v>
      </c>
      <c r="C32" s="26" t="str">
        <f>"Anschliessend geben Sie die Fensterdaten des Gebäudes in der Tabelle '"&amp;SheetWindow&amp;"' ein."</f>
        <v>Anschliessend geben Sie die Fensterdaten des Gebäudes in der Tabelle 'Fenêtres' ein.</v>
      </c>
      <c r="D32" s="217" t="str">
        <f>"Saisissez ensuite les données des fenêtres du bâtiment dans le tableau '"&amp;SheetWindow&amp;"'."</f>
        <v>Saisissez ensuite les données des fenêtres du bâtiment dans le tableau 'Fenêtres'.</v>
      </c>
      <c r="E32" s="26" t="str">
        <f>"Immettere quindi i dati delle finestre dell' edificio nella tabella '"&amp;SheetWindow&amp;"'."</f>
        <v>Immettere quindi i dati delle finestre dell' edificio nella tabella 'Fenêtres'.</v>
      </c>
      <c r="F32" s="26" t="str">
        <f>"Now, enter the windows data in the sheet '"&amp;SheetWindow&amp;"'."</f>
        <v>Now, enter the windows data in the sheet 'Fenêtres'.</v>
      </c>
    </row>
    <row r="33" spans="1:6" x14ac:dyDescent="0.3">
      <c r="A33" s="26" t="s">
        <v>890</v>
      </c>
      <c r="B33" s="26" t="str">
        <f t="shared" si="0"/>
        <v>Comme prochaine étape, ouvrez l'onglet 'Lumière_du_jour', saisissez les données des locaux et selectionnez les fenêtres utilisées.</v>
      </c>
      <c r="C33" s="26" t="str">
        <f>"Als nächsten Schritt erfassen Sie die Raumdaten und die im Raum verwendeten Fenster im Blatt '"&amp;SheetDaylight&amp;"'."</f>
        <v>Als nächsten Schritt erfassen Sie die Raumdaten und die im Raum verwendeten Fenster im Blatt 'Lumière_du_jour'.</v>
      </c>
      <c r="D33" s="217" t="str">
        <f>"Comme prochaine étape, ouvrez l'onglet '"&amp;SheetDaylight&amp;"', saisissez les données des locaux et selectionnez les fenêtres utilisées."</f>
        <v>Comme prochaine étape, ouvrez l'onglet 'Lumière_du_jour', saisissez les données des locaux et selectionnez les fenêtres utilisées.</v>
      </c>
      <c r="E33" s="26" t="str">
        <f>"Come passo successivo, nella scheda '"&amp;SheetDaylight&amp;"', inserire i dati del locale e delle finestre di pertinenza."</f>
        <v>Come passo successivo, nella scheda 'Lumière_du_jour', inserire i dati del locale e delle finestre di pertinenza.</v>
      </c>
      <c r="F33" s="26" t="str">
        <f>"As next step, select the sheet '"&amp;SheetDaylight&amp;"' and enter the room data."</f>
        <v>As next step, select the sheet 'Lumière_du_jour' and enter the room data.</v>
      </c>
    </row>
    <row r="34" spans="1:6" x14ac:dyDescent="0.3">
      <c r="A34" s="26" t="s">
        <v>891</v>
      </c>
      <c r="B34" s="26" t="str">
        <f t="shared" si="0"/>
        <v>Enfin, ouvrez l'onglet 'Vues' entrez par local les élments de vue visibles.</v>
      </c>
      <c r="C34" s="26" t="str">
        <f>"Zuletzt erfassen Sie den Ausblick pro Raum im Blatt '"&amp;SheetViews&amp;"'."</f>
        <v>Zuletzt erfassen Sie den Ausblick pro Raum im Blatt 'Vues'.</v>
      </c>
      <c r="D34" s="217" t="str">
        <f>"Enfin, ouvrez l'onglet '"&amp;SheetViews&amp;"' entrez par local les élments de vue visibles."</f>
        <v>Enfin, ouvrez l'onglet 'Vues' entrez par local les élments de vue visibles.</v>
      </c>
      <c r="E34" s="26" t="str">
        <f>"Infine, si inseriscono le viste per locale nel foglio '"&amp;SheetViews&amp;"'."</f>
        <v>Infine, si inseriscono le viste per locale nel foglio 'Vues'.</v>
      </c>
      <c r="F34" s="26" t="str">
        <f>"Finally, enter the views per room in the sheet '"&amp;SheetViews&amp;"'."</f>
        <v>Finally, enter the views per room in the sheet 'Vues'.</v>
      </c>
    </row>
    <row r="35" spans="1:6" x14ac:dyDescent="0.3">
      <c r="A35" s="26" t="s">
        <v>901</v>
      </c>
      <c r="B35" s="26" t="str">
        <f t="shared" si="0"/>
        <v>Des textes d'aide apparaissent lorsque vous cliquez sur les zones de saisie.</v>
      </c>
      <c r="C35" s="26" t="s">
        <v>580</v>
      </c>
      <c r="D35" s="217" t="s">
        <v>690</v>
      </c>
      <c r="E35" s="26" t="s">
        <v>654</v>
      </c>
      <c r="F35" s="26" t="s">
        <v>656</v>
      </c>
    </row>
    <row r="36" spans="1:6" x14ac:dyDescent="0.3">
      <c r="A36" s="26" t="s">
        <v>1009</v>
      </c>
      <c r="B36" s="26" t="str">
        <f t="shared" si="0"/>
        <v>Les résultats seront affichés au bas de la page 'Lumière_du_jour' et 'Résumé'.</v>
      </c>
      <c r="C36" s="26" t="str">
        <f>"Die Ergebnisse werden unten auf der Seite im Blatt '"&amp;SheetDaylight&amp;"' und im Blatt '"&amp;SheetOverview&amp;"' ausgegeben."</f>
        <v>Die Ergebnisse werden unten auf der Seite im Blatt 'Lumière_du_jour' und im Blatt 'Résumé' ausgegeben.</v>
      </c>
      <c r="D36" s="217" t="str">
        <f>"Les résultats seront affichés au bas de la page '"&amp;SheetDaylight&amp;"' et '"&amp;SheetOverview&amp;"'."</f>
        <v>Les résultats seront affichés au bas de la page 'Lumière_du_jour' et 'Résumé'.</v>
      </c>
      <c r="E36" s="26" t="str">
        <f>"I risultati vengono visualizzati in fondo alla pagina nei fogli '"&amp;SheetOverview&amp;"' e '"&amp;SheetDaylight&amp;"'."</f>
        <v>I risultati vengono visualizzati in fondo alla pagina nei fogli 'Résumé' e 'Lumière_du_jour'.</v>
      </c>
      <c r="F36" s="26" t="str">
        <f>"The results are displayed on the bottom of the sheet '"&amp;SheetDaylight&amp;"' and on the sheet '"&amp;SheetOverview&amp;"'."</f>
        <v>The results are displayed on the bottom of the sheet 'Lumière_du_jour' and on the sheet 'Résumé'.</v>
      </c>
    </row>
    <row r="37" spans="1:6" x14ac:dyDescent="0.3">
      <c r="A37" s="26" t="s">
        <v>1016</v>
      </c>
      <c r="B37" s="26" t="str">
        <f t="shared" si="0"/>
        <v>Si un tableau n'est pas suffisant, vous pouvez saisir les résultats provenant d'autres feuilles au bas de la feuille 'Lumière_du_jour'.</v>
      </c>
      <c r="C37" s="2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'Lumière_du_jour' eintragen.</v>
      </c>
      <c r="D37" s="217" t="str">
        <f>"Si un tableau n'est pas suffisant, vous pouvez saisir les résultats provenant d'autres feuilles au bas de la feuille '"&amp;SheetDaylight&amp;"'."</f>
        <v>Si un tableau n'est pas suffisant, vous pouvez saisir les résultats provenant d'autres feuilles au bas de la feuille 'Lumière_du_jour'.</v>
      </c>
      <c r="E37" s="26" t="str">
        <f>"Se una tabella non è sufficiente, è possibile inserire i risultati di altri fogli in fondo al foglio '"&amp;SheetDaylight&amp;"'."</f>
        <v>Se una tabella non è sufficiente, è possibile inserire i risultati di altri fogli in fondo al foglio 'Lumière_du_jour'.</v>
      </c>
      <c r="F37" s="26" t="str">
        <f>"If the number of rows is insufficient, you can report the results of other tools on the bottom of sheet '"&amp;SheetDaylight&amp;"'."</f>
        <v>If the number of rows is insufficient, you can report the results of other tools on the bottom of sheet 'Lumière_du_jour'.</v>
      </c>
    </row>
    <row r="38" spans="1:6" x14ac:dyDescent="0.3">
      <c r="A38" s="26" t="s">
        <v>1015</v>
      </c>
      <c r="B38" s="26" t="str">
        <f t="shared" si="0"/>
        <v>Si vous avez des questions concernant la certification, veuillez contacter l'office de certification responsable.</v>
      </c>
      <c r="C38" s="26" t="s">
        <v>581</v>
      </c>
      <c r="D38" s="217" t="s">
        <v>943</v>
      </c>
      <c r="E38" s="26" t="s">
        <v>655</v>
      </c>
      <c r="F38" s="26" t="s">
        <v>657</v>
      </c>
    </row>
    <row r="39" spans="1:6" x14ac:dyDescent="0.3">
      <c r="A39" s="26" t="s">
        <v>1124</v>
      </c>
      <c r="B39" s="26" t="str">
        <f t="shared" si="0"/>
        <v>Dérogation pour les écoles : taux de l'autonomie en lumière naturelle d'au moins 40% (voir prescription 140.01 Lumière du jour).</v>
      </c>
      <c r="C39" s="259" t="s">
        <v>1096</v>
      </c>
      <c r="D39" s="259" t="s">
        <v>1094</v>
      </c>
      <c r="E39" s="259" t="s">
        <v>1095</v>
      </c>
      <c r="F39" s="259" t="s">
        <v>1115</v>
      </c>
    </row>
    <row r="41" spans="1:6" x14ac:dyDescent="0.3">
      <c r="A41" s="37" t="s">
        <v>171</v>
      </c>
      <c r="B41" s="37"/>
      <c r="C41" s="37"/>
      <c r="D41" s="37"/>
      <c r="E41" s="37"/>
      <c r="F41" s="37"/>
    </row>
    <row r="42" spans="1:6" x14ac:dyDescent="0.3">
      <c r="A42" s="37" t="s">
        <v>162</v>
      </c>
      <c r="B42" s="37" t="s">
        <v>163</v>
      </c>
      <c r="C42" s="37" t="str">
        <f>C$4</f>
        <v>Deutsch</v>
      </c>
      <c r="D42" s="37" t="str">
        <f>D$4</f>
        <v>Francais</v>
      </c>
      <c r="E42" s="37" t="str">
        <f>E$4</f>
        <v>Italiano</v>
      </c>
      <c r="F42" s="37" t="str">
        <f>F$4</f>
        <v>English</v>
      </c>
    </row>
    <row r="43" spans="1:6" x14ac:dyDescent="0.3">
      <c r="A43" s="26" t="s">
        <v>165</v>
      </c>
      <c r="B43" s="26" t="str">
        <f t="shared" ref="B43:B57" si="1">INDEX($C43:$F43,1,MATCH(Sprachwahl,ListSprache,0))</f>
        <v>Données des fenêtres</v>
      </c>
      <c r="C43" s="26" t="s">
        <v>66</v>
      </c>
      <c r="D43" s="217" t="s">
        <v>948</v>
      </c>
      <c r="E43" s="26" t="s">
        <v>627</v>
      </c>
      <c r="F43" s="26" t="s">
        <v>329</v>
      </c>
    </row>
    <row r="44" spans="1:6" x14ac:dyDescent="0.3">
      <c r="A44" s="26" t="s">
        <v>183</v>
      </c>
      <c r="B44" s="26" t="str">
        <f t="shared" si="1"/>
        <v>Données des fenêtres</v>
      </c>
      <c r="C44" s="26" t="s">
        <v>66</v>
      </c>
      <c r="D44" s="217" t="s">
        <v>948</v>
      </c>
      <c r="E44" s="26" t="s">
        <v>627</v>
      </c>
      <c r="F44" s="26" t="s">
        <v>329</v>
      </c>
    </row>
    <row r="45" spans="1:6" x14ac:dyDescent="0.3">
      <c r="A45" s="26" t="s">
        <v>174</v>
      </c>
      <c r="B45" s="26" t="str">
        <f t="shared" si="1"/>
        <v>Abrév.
-</v>
      </c>
      <c r="C45" s="26" t="s">
        <v>77</v>
      </c>
      <c r="D45" s="26" t="s">
        <v>294</v>
      </c>
      <c r="E45" s="26" t="s">
        <v>644</v>
      </c>
      <c r="F45" s="26" t="s">
        <v>659</v>
      </c>
    </row>
    <row r="46" spans="1:6" x14ac:dyDescent="0.3">
      <c r="A46" s="26" t="s">
        <v>175</v>
      </c>
      <c r="B46" s="26" t="str">
        <f t="shared" si="1"/>
        <v>Dénomination
-</v>
      </c>
      <c r="C46" s="26" t="s">
        <v>76</v>
      </c>
      <c r="D46" s="217" t="s">
        <v>949</v>
      </c>
      <c r="E46" s="26" t="s">
        <v>645</v>
      </c>
      <c r="F46" s="26" t="s">
        <v>330</v>
      </c>
    </row>
    <row r="47" spans="1:6" x14ac:dyDescent="0.3">
      <c r="A47" s="26" t="s">
        <v>176</v>
      </c>
      <c r="B47" s="26" t="str">
        <f t="shared" si="1"/>
        <v>Lon-gueur
m</v>
      </c>
      <c r="C47" s="26" t="s">
        <v>73</v>
      </c>
      <c r="D47" s="26" t="s">
        <v>227</v>
      </c>
      <c r="E47" s="26" t="s">
        <v>641</v>
      </c>
      <c r="F47" s="26" t="s">
        <v>331</v>
      </c>
    </row>
    <row r="48" spans="1:6" x14ac:dyDescent="0.3">
      <c r="A48" s="26" t="s">
        <v>177</v>
      </c>
      <c r="B48" s="26" t="str">
        <f t="shared" si="1"/>
        <v>Hau-teur
m</v>
      </c>
      <c r="C48" s="26" t="s">
        <v>26</v>
      </c>
      <c r="D48" s="26" t="s">
        <v>295</v>
      </c>
      <c r="E48" s="26" t="s">
        <v>341</v>
      </c>
      <c r="F48" s="26" t="s">
        <v>332</v>
      </c>
    </row>
    <row r="49" spans="1:6" x14ac:dyDescent="0.3">
      <c r="A49" s="26" t="s">
        <v>178</v>
      </c>
      <c r="B49" s="26" t="str">
        <f t="shared" si="1"/>
        <v>Part vitrée
%</v>
      </c>
      <c r="C49" s="26" t="s">
        <v>126</v>
      </c>
      <c r="D49" s="217" t="s">
        <v>950</v>
      </c>
      <c r="E49" s="26" t="s">
        <v>369</v>
      </c>
      <c r="F49" s="26" t="s">
        <v>333</v>
      </c>
    </row>
    <row r="50" spans="1:6" x14ac:dyDescent="0.3">
      <c r="A50" s="26" t="s">
        <v>179</v>
      </c>
      <c r="B50" s="26" t="str">
        <f t="shared" si="1"/>
        <v>Valeur Tau
%</v>
      </c>
      <c r="C50" s="26" t="s">
        <v>74</v>
      </c>
      <c r="D50" s="217" t="s">
        <v>951</v>
      </c>
      <c r="E50" s="26" t="s">
        <v>342</v>
      </c>
      <c r="F50" s="26" t="s">
        <v>334</v>
      </c>
    </row>
    <row r="51" spans="1:6" x14ac:dyDescent="0.3">
      <c r="A51" s="26" t="s">
        <v>180</v>
      </c>
      <c r="B51" s="26" t="str">
        <f t="shared" si="1"/>
        <v>Hauteur du linteau 
m</v>
      </c>
      <c r="C51" s="26" t="s">
        <v>78</v>
      </c>
      <c r="D51" s="26" t="s">
        <v>250</v>
      </c>
      <c r="E51" s="26" t="s">
        <v>343</v>
      </c>
      <c r="F51" s="26" t="s">
        <v>335</v>
      </c>
    </row>
    <row r="52" spans="1:6" x14ac:dyDescent="0.3">
      <c r="A52" s="26" t="s">
        <v>181</v>
      </c>
      <c r="B52" s="26" t="str">
        <f t="shared" si="1"/>
        <v>Porte-à-faux
m</v>
      </c>
      <c r="C52" s="26" t="s">
        <v>145</v>
      </c>
      <c r="D52" s="26" t="s">
        <v>251</v>
      </c>
      <c r="E52" s="26" t="s">
        <v>640</v>
      </c>
      <c r="F52" s="26" t="s">
        <v>336</v>
      </c>
    </row>
    <row r="53" spans="1:6" x14ac:dyDescent="0.3">
      <c r="A53" s="26" t="s">
        <v>182</v>
      </c>
      <c r="B53" s="26" t="str">
        <f t="shared" si="1"/>
        <v>Lumière zénithale
-</v>
      </c>
      <c r="C53" s="26" t="s">
        <v>112</v>
      </c>
      <c r="D53" s="26" t="s">
        <v>252</v>
      </c>
      <c r="E53" s="26" t="s">
        <v>642</v>
      </c>
      <c r="F53" s="26" t="s">
        <v>337</v>
      </c>
    </row>
    <row r="54" spans="1:6" x14ac:dyDescent="0.3">
      <c r="A54" s="26" t="s">
        <v>184</v>
      </c>
      <c r="B54" s="26" t="str">
        <f t="shared" si="1"/>
        <v>Protéction solaire et ombrage dû à l'horizon</v>
      </c>
      <c r="C54" s="26" t="s">
        <v>143</v>
      </c>
      <c r="D54" s="217" t="s">
        <v>952</v>
      </c>
      <c r="E54" s="26" t="s">
        <v>344</v>
      </c>
      <c r="F54" s="26" t="s">
        <v>338</v>
      </c>
    </row>
    <row r="55" spans="1:6" x14ac:dyDescent="0.3">
      <c r="A55" s="26" t="s">
        <v>185</v>
      </c>
      <c r="B55" s="26" t="str">
        <f t="shared" si="1"/>
        <v>Type
-</v>
      </c>
      <c r="C55" s="26" t="s">
        <v>65</v>
      </c>
      <c r="D55" s="26" t="s">
        <v>296</v>
      </c>
      <c r="E55" s="26" t="s">
        <v>345</v>
      </c>
      <c r="F55" s="26" t="s">
        <v>296</v>
      </c>
    </row>
    <row r="56" spans="1:6" x14ac:dyDescent="0.3">
      <c r="A56" s="26" t="s">
        <v>186</v>
      </c>
      <c r="B56" s="26" t="str">
        <f t="shared" si="1"/>
        <v>Commande
-</v>
      </c>
      <c r="C56" s="26" t="s">
        <v>79</v>
      </c>
      <c r="D56" s="217" t="s">
        <v>953</v>
      </c>
      <c r="E56" s="26" t="s">
        <v>346</v>
      </c>
      <c r="F56" s="26" t="s">
        <v>339</v>
      </c>
    </row>
    <row r="57" spans="1:6" x14ac:dyDescent="0.3">
      <c r="A57" s="26" t="s">
        <v>187</v>
      </c>
      <c r="B57" s="26" t="str">
        <f t="shared" si="1"/>
        <v>Ombrage dû à l'horizon
-</v>
      </c>
      <c r="C57" s="26" t="s">
        <v>111</v>
      </c>
      <c r="D57" s="217" t="s">
        <v>954</v>
      </c>
      <c r="E57" s="26" t="s">
        <v>643</v>
      </c>
      <c r="F57" s="26" t="s">
        <v>340</v>
      </c>
    </row>
    <row r="59" spans="1:6" x14ac:dyDescent="0.3">
      <c r="A59" s="37" t="s">
        <v>188</v>
      </c>
      <c r="B59" s="37"/>
      <c r="C59" s="37"/>
      <c r="D59" s="37"/>
      <c r="E59" s="37"/>
      <c r="F59" s="37"/>
    </row>
    <row r="60" spans="1:6" x14ac:dyDescent="0.3">
      <c r="A60" s="37" t="s">
        <v>162</v>
      </c>
      <c r="B60" s="37" t="s">
        <v>163</v>
      </c>
      <c r="C60" s="37" t="str">
        <f>C$4</f>
        <v>Deutsch</v>
      </c>
      <c r="D60" s="37" t="str">
        <f>D$4</f>
        <v>Francais</v>
      </c>
      <c r="E60" s="37" t="str">
        <f>E$4</f>
        <v>Italiano</v>
      </c>
      <c r="F60" s="37" t="str">
        <f>F$4</f>
        <v>English</v>
      </c>
    </row>
    <row r="61" spans="1:6" x14ac:dyDescent="0.3">
      <c r="A61" s="26" t="s">
        <v>165</v>
      </c>
      <c r="B61" s="26" t="str">
        <f t="shared" ref="B61:B97" si="2">INDEX($C61:$F61,1,MATCH(Sprachwahl,ListSprache,0))</f>
        <v>Locaux types et lumière du jour</v>
      </c>
      <c r="C61" s="26" t="s">
        <v>189</v>
      </c>
      <c r="D61" s="26" t="s">
        <v>225</v>
      </c>
      <c r="E61" s="26" t="s">
        <v>310</v>
      </c>
      <c r="F61" s="26" t="s">
        <v>347</v>
      </c>
    </row>
    <row r="62" spans="1:6" x14ac:dyDescent="0.3">
      <c r="A62" s="26" t="s">
        <v>183</v>
      </c>
      <c r="B62" s="26" t="str">
        <f t="shared" si="2"/>
        <v>Locaux types</v>
      </c>
      <c r="C62" s="26" t="s">
        <v>7</v>
      </c>
      <c r="D62" s="26" t="s">
        <v>226</v>
      </c>
      <c r="E62" s="26" t="s">
        <v>311</v>
      </c>
      <c r="F62" s="26" t="s">
        <v>348</v>
      </c>
    </row>
    <row r="63" spans="1:6" x14ac:dyDescent="0.3">
      <c r="A63" s="26" t="s">
        <v>739</v>
      </c>
      <c r="B63" s="26" t="str">
        <f t="shared" si="2"/>
        <v>Rés.</v>
      </c>
      <c r="C63" s="26" t="s">
        <v>738</v>
      </c>
      <c r="D63" s="26" t="s">
        <v>740</v>
      </c>
      <c r="E63" s="26" t="s">
        <v>741</v>
      </c>
      <c r="F63" s="26" t="s">
        <v>738</v>
      </c>
    </row>
    <row r="64" spans="1:6" x14ac:dyDescent="0.3">
      <c r="A64" s="26" t="s">
        <v>191</v>
      </c>
      <c r="B64" s="26" t="str">
        <f t="shared" si="2"/>
        <v>Nr.</v>
      </c>
      <c r="C64" s="26" t="s">
        <v>48</v>
      </c>
      <c r="D64" s="26" t="s">
        <v>48</v>
      </c>
      <c r="E64" s="26" t="s">
        <v>48</v>
      </c>
      <c r="F64" s="26" t="s">
        <v>349</v>
      </c>
    </row>
    <row r="65" spans="1:6" x14ac:dyDescent="0.3">
      <c r="A65" s="26" t="s">
        <v>174</v>
      </c>
      <c r="B65" s="26" t="str">
        <f t="shared" si="2"/>
        <v>Dénomination du local
-</v>
      </c>
      <c r="C65" s="26" t="s">
        <v>647</v>
      </c>
      <c r="D65" s="217" t="s">
        <v>955</v>
      </c>
      <c r="E65" s="26" t="s">
        <v>648</v>
      </c>
      <c r="F65" s="26" t="s">
        <v>649</v>
      </c>
    </row>
    <row r="66" spans="1:6" x14ac:dyDescent="0.3">
      <c r="A66" s="26" t="s">
        <v>175</v>
      </c>
      <c r="B66" s="26" t="str">
        <f t="shared" si="2"/>
        <v>Affectation standard
-</v>
      </c>
      <c r="C66" s="26" t="s">
        <v>662</v>
      </c>
      <c r="D66" s="26" t="s">
        <v>663</v>
      </c>
      <c r="E66" s="26" t="s">
        <v>652</v>
      </c>
      <c r="F66" s="26" t="s">
        <v>661</v>
      </c>
    </row>
    <row r="67" spans="1:6" x14ac:dyDescent="0.3">
      <c r="A67" s="26" t="s">
        <v>192</v>
      </c>
      <c r="B67" s="26" t="str">
        <f t="shared" si="2"/>
        <v>Données du local</v>
      </c>
      <c r="C67" s="26" t="s">
        <v>64</v>
      </c>
      <c r="D67" s="217" t="s">
        <v>956</v>
      </c>
      <c r="E67" s="26" t="s">
        <v>312</v>
      </c>
      <c r="F67" s="26" t="s">
        <v>350</v>
      </c>
    </row>
    <row r="68" spans="1:6" x14ac:dyDescent="0.3">
      <c r="A68" s="26" t="s">
        <v>176</v>
      </c>
      <c r="B68" s="26" t="str">
        <f t="shared" si="2"/>
        <v>Lon-gueur
m</v>
      </c>
      <c r="C68" s="26" t="s">
        <v>24</v>
      </c>
      <c r="D68" s="26" t="s">
        <v>227</v>
      </c>
      <c r="E68" s="26" t="s">
        <v>641</v>
      </c>
      <c r="F68" s="26" t="s">
        <v>331</v>
      </c>
    </row>
    <row r="69" spans="1:6" x14ac:dyDescent="0.3">
      <c r="A69" s="26" t="s">
        <v>177</v>
      </c>
      <c r="B69" s="26" t="str">
        <f t="shared" si="2"/>
        <v>Pro-fondeur m</v>
      </c>
      <c r="C69" s="26" t="s">
        <v>25</v>
      </c>
      <c r="D69" s="26" t="s">
        <v>228</v>
      </c>
      <c r="E69" s="26" t="s">
        <v>341</v>
      </c>
      <c r="F69" s="26" t="s">
        <v>351</v>
      </c>
    </row>
    <row r="70" spans="1:6" x14ac:dyDescent="0.3">
      <c r="A70" s="26" t="s">
        <v>178</v>
      </c>
      <c r="B70" s="26" t="str">
        <f t="shared" si="2"/>
        <v>Hauteur
m</v>
      </c>
      <c r="C70" s="26" t="s">
        <v>26</v>
      </c>
      <c r="D70" s="26" t="s">
        <v>229</v>
      </c>
      <c r="E70" s="26" t="s">
        <v>646</v>
      </c>
      <c r="F70" s="26" t="s">
        <v>332</v>
      </c>
    </row>
    <row r="71" spans="1:6" x14ac:dyDescent="0.3">
      <c r="A71" s="26" t="s">
        <v>179</v>
      </c>
      <c r="B71" s="26" t="str">
        <f t="shared" si="2"/>
        <v>Surface nette
m2</v>
      </c>
      <c r="C71" s="26" t="s">
        <v>190</v>
      </c>
      <c r="D71" s="26" t="s">
        <v>230</v>
      </c>
      <c r="E71" s="26" t="s">
        <v>650</v>
      </c>
      <c r="F71" s="26" t="s">
        <v>352</v>
      </c>
    </row>
    <row r="72" spans="1:6" x14ac:dyDescent="0.3">
      <c r="A72" s="26" t="s">
        <v>180</v>
      </c>
      <c r="B72" s="26" t="str">
        <f t="shared" si="2"/>
        <v>Nombre pce</v>
      </c>
      <c r="C72" s="26" t="s">
        <v>37</v>
      </c>
      <c r="D72" s="26" t="s">
        <v>231</v>
      </c>
      <c r="E72" s="26" t="s">
        <v>628</v>
      </c>
      <c r="F72" s="26" t="s">
        <v>353</v>
      </c>
    </row>
    <row r="73" spans="1:6" x14ac:dyDescent="0.3">
      <c r="A73" s="26" t="s">
        <v>181</v>
      </c>
      <c r="B73" s="26" t="str">
        <f t="shared" si="2"/>
        <v>Mix de réflexion
-</v>
      </c>
      <c r="C73" s="26" t="s">
        <v>38</v>
      </c>
      <c r="D73" s="26" t="s">
        <v>233</v>
      </c>
      <c r="E73" s="26" t="s">
        <v>653</v>
      </c>
      <c r="F73" s="26" t="s">
        <v>660</v>
      </c>
    </row>
    <row r="74" spans="1:6" x14ac:dyDescent="0.3">
      <c r="A74" s="26" t="s">
        <v>193</v>
      </c>
      <c r="B74" s="26" t="str">
        <f t="shared" si="2"/>
        <v>Fenêtres</v>
      </c>
      <c r="C74" s="26" t="s">
        <v>62</v>
      </c>
      <c r="D74" s="26" t="s">
        <v>234</v>
      </c>
      <c r="E74" s="26" t="s">
        <v>313</v>
      </c>
      <c r="F74" s="26" t="s">
        <v>354</v>
      </c>
    </row>
    <row r="75" spans="1:6" x14ac:dyDescent="0.3">
      <c r="A75" s="26" t="s">
        <v>182</v>
      </c>
      <c r="B75" s="26" t="str">
        <f t="shared" si="2"/>
        <v>Type 1
-</v>
      </c>
      <c r="C75" s="26" t="s">
        <v>117</v>
      </c>
      <c r="D75" s="26" t="s">
        <v>235</v>
      </c>
      <c r="E75" s="26" t="s">
        <v>314</v>
      </c>
      <c r="F75" s="26" t="s">
        <v>235</v>
      </c>
    </row>
    <row r="76" spans="1:6" x14ac:dyDescent="0.3">
      <c r="A76" s="26" t="s">
        <v>185</v>
      </c>
      <c r="B76" s="26" t="str">
        <f t="shared" si="2"/>
        <v>Nombre pce</v>
      </c>
      <c r="C76" s="26" t="s">
        <v>37</v>
      </c>
      <c r="D76" s="26" t="s">
        <v>231</v>
      </c>
      <c r="E76" s="26" t="s">
        <v>629</v>
      </c>
      <c r="F76" s="26" t="s">
        <v>353</v>
      </c>
    </row>
    <row r="77" spans="1:6" x14ac:dyDescent="0.3">
      <c r="A77" s="26" t="s">
        <v>186</v>
      </c>
      <c r="B77" s="26" t="str">
        <f t="shared" si="2"/>
        <v>Type 2
-</v>
      </c>
      <c r="C77" s="26" t="s">
        <v>118</v>
      </c>
      <c r="D77" s="26" t="s">
        <v>236</v>
      </c>
      <c r="E77" s="26" t="s">
        <v>315</v>
      </c>
      <c r="F77" s="26" t="s">
        <v>236</v>
      </c>
    </row>
    <row r="78" spans="1:6" x14ac:dyDescent="0.3">
      <c r="A78" s="26" t="s">
        <v>187</v>
      </c>
      <c r="B78" s="26" t="str">
        <f t="shared" si="2"/>
        <v>Nombre pce</v>
      </c>
      <c r="C78" s="26" t="s">
        <v>37</v>
      </c>
      <c r="D78" s="26" t="s">
        <v>231</v>
      </c>
      <c r="E78" s="26" t="s">
        <v>629</v>
      </c>
      <c r="F78" s="26" t="s">
        <v>353</v>
      </c>
    </row>
    <row r="79" spans="1:6" x14ac:dyDescent="0.3">
      <c r="A79" s="26" t="s">
        <v>194</v>
      </c>
      <c r="B79" s="26" t="str">
        <f t="shared" si="2"/>
        <v>Type 3
-</v>
      </c>
      <c r="C79" s="26" t="s">
        <v>119</v>
      </c>
      <c r="D79" s="26" t="s">
        <v>237</v>
      </c>
      <c r="E79" s="26" t="s">
        <v>316</v>
      </c>
      <c r="F79" s="26" t="s">
        <v>237</v>
      </c>
    </row>
    <row r="80" spans="1:6" x14ac:dyDescent="0.3">
      <c r="A80" s="26" t="s">
        <v>195</v>
      </c>
      <c r="B80" s="26" t="str">
        <f t="shared" si="2"/>
        <v>Nombre pce</v>
      </c>
      <c r="C80" s="26" t="s">
        <v>37</v>
      </c>
      <c r="D80" s="26" t="s">
        <v>231</v>
      </c>
      <c r="E80" s="26" t="s">
        <v>629</v>
      </c>
      <c r="F80" s="26" t="s">
        <v>353</v>
      </c>
    </row>
    <row r="81" spans="1:6" x14ac:dyDescent="0.3">
      <c r="A81" s="26" t="s">
        <v>196</v>
      </c>
      <c r="B81" s="26" t="str">
        <f t="shared" si="2"/>
        <v>Type 4
-</v>
      </c>
      <c r="C81" s="26" t="s">
        <v>120</v>
      </c>
      <c r="D81" s="26" t="s">
        <v>238</v>
      </c>
      <c r="E81" s="26" t="s">
        <v>317</v>
      </c>
      <c r="F81" s="26" t="s">
        <v>238</v>
      </c>
    </row>
    <row r="82" spans="1:6" x14ac:dyDescent="0.3">
      <c r="A82" s="26" t="s">
        <v>197</v>
      </c>
      <c r="B82" s="26" t="str">
        <f t="shared" si="2"/>
        <v>Nombre pce</v>
      </c>
      <c r="C82" s="26" t="s">
        <v>37</v>
      </c>
      <c r="D82" s="26" t="s">
        <v>231</v>
      </c>
      <c r="E82" s="26" t="s">
        <v>629</v>
      </c>
      <c r="F82" s="26" t="s">
        <v>353</v>
      </c>
    </row>
    <row r="83" spans="1:6" x14ac:dyDescent="0.3">
      <c r="A83" s="26" t="s">
        <v>742</v>
      </c>
      <c r="B83" s="26" t="str">
        <f t="shared" si="2"/>
        <v>Degré lum.
%</v>
      </c>
      <c r="C83" s="26" t="s">
        <v>743</v>
      </c>
      <c r="D83" s="26" t="s">
        <v>744</v>
      </c>
      <c r="E83" s="26" t="s">
        <v>745</v>
      </c>
      <c r="F83" s="26" t="s">
        <v>788</v>
      </c>
    </row>
    <row r="84" spans="1:6" x14ac:dyDescent="0.3">
      <c r="A84" s="26" t="s">
        <v>492</v>
      </c>
      <c r="B84" s="26" t="str">
        <f t="shared" si="2"/>
        <v>Résultats</v>
      </c>
      <c r="C84" s="26" t="s">
        <v>121</v>
      </c>
      <c r="D84" s="26" t="s">
        <v>239</v>
      </c>
      <c r="E84" s="26" t="s">
        <v>318</v>
      </c>
      <c r="F84" s="26" t="s">
        <v>355</v>
      </c>
    </row>
    <row r="85" spans="1:6" x14ac:dyDescent="0.3">
      <c r="A85" s="26" t="s">
        <v>493</v>
      </c>
      <c r="B85" s="26" t="str">
        <f t="shared" si="2"/>
        <v>Résultats de cette feuille</v>
      </c>
      <c r="C85" s="26" t="s">
        <v>530</v>
      </c>
      <c r="D85" s="26" t="s">
        <v>483</v>
      </c>
      <c r="E85" s="26" t="s">
        <v>630</v>
      </c>
      <c r="F85" s="26" t="s">
        <v>484</v>
      </c>
    </row>
    <row r="86" spans="1:6" x14ac:dyDescent="0.3">
      <c r="A86" s="26" t="s">
        <v>494</v>
      </c>
      <c r="B86" s="26" t="str">
        <f t="shared" si="2"/>
        <v>Report d'un autre justificatif</v>
      </c>
      <c r="C86" s="217" t="s">
        <v>957</v>
      </c>
      <c r="D86" s="217" t="s">
        <v>958</v>
      </c>
      <c r="E86" s="217" t="s">
        <v>959</v>
      </c>
      <c r="F86" s="217" t="s">
        <v>960</v>
      </c>
    </row>
    <row r="87" spans="1:6" x14ac:dyDescent="0.3">
      <c r="A87" s="26" t="s">
        <v>495</v>
      </c>
      <c r="B87" s="26" t="str">
        <f t="shared" si="2"/>
        <v>Résultats globales</v>
      </c>
      <c r="C87" s="26" t="s">
        <v>488</v>
      </c>
      <c r="D87" s="26" t="s">
        <v>489</v>
      </c>
      <c r="E87" s="26" t="s">
        <v>490</v>
      </c>
      <c r="F87" s="26" t="s">
        <v>491</v>
      </c>
    </row>
    <row r="88" spans="1:6" x14ac:dyDescent="0.3">
      <c r="A88" s="26" t="s">
        <v>496</v>
      </c>
      <c r="B88" s="26" t="str">
        <f t="shared" si="2"/>
        <v>Déscription</v>
      </c>
      <c r="C88" s="26" t="s">
        <v>72</v>
      </c>
      <c r="D88" s="26" t="s">
        <v>485</v>
      </c>
      <c r="E88" s="26" t="s">
        <v>486</v>
      </c>
      <c r="F88" s="26" t="s">
        <v>487</v>
      </c>
    </row>
    <row r="89" spans="1:6" x14ac:dyDescent="0.3">
      <c r="A89" s="26" t="s">
        <v>497</v>
      </c>
      <c r="B89" s="26" t="str">
        <f t="shared" si="2"/>
        <v>Surface nette</v>
      </c>
      <c r="C89" s="26" t="s">
        <v>746</v>
      </c>
      <c r="D89" s="26" t="s">
        <v>477</v>
      </c>
      <c r="E89" s="26" t="s">
        <v>747</v>
      </c>
      <c r="F89" s="26" t="s">
        <v>476</v>
      </c>
    </row>
    <row r="90" spans="1:6" x14ac:dyDescent="0.3">
      <c r="A90" s="26" t="s">
        <v>498</v>
      </c>
      <c r="B90" s="26" t="str">
        <f t="shared" si="2"/>
        <v>Résultat</v>
      </c>
      <c r="C90" s="26" t="s">
        <v>478</v>
      </c>
      <c r="D90" s="26" t="s">
        <v>479</v>
      </c>
      <c r="E90" s="26" t="s">
        <v>480</v>
      </c>
      <c r="F90" s="26" t="s">
        <v>481</v>
      </c>
    </row>
    <row r="91" spans="1:6" x14ac:dyDescent="0.3">
      <c r="A91" s="26" t="s">
        <v>499</v>
      </c>
      <c r="B91" s="26" t="str">
        <f t="shared" si="2"/>
        <v>Surface nette</v>
      </c>
      <c r="C91" s="26" t="s">
        <v>746</v>
      </c>
      <c r="D91" s="26" t="s">
        <v>477</v>
      </c>
      <c r="E91" s="26" t="s">
        <v>747</v>
      </c>
      <c r="F91" s="26" t="s">
        <v>476</v>
      </c>
    </row>
    <row r="92" spans="1:6" x14ac:dyDescent="0.3">
      <c r="A92" s="26" t="s">
        <v>500</v>
      </c>
      <c r="B92" s="26" t="str">
        <f t="shared" si="2"/>
        <v>Surface nette</v>
      </c>
      <c r="C92" s="26" t="s">
        <v>746</v>
      </c>
      <c r="D92" s="26" t="s">
        <v>477</v>
      </c>
      <c r="E92" s="26" t="s">
        <v>747</v>
      </c>
      <c r="F92" s="26" t="s">
        <v>476</v>
      </c>
    </row>
    <row r="93" spans="1:6" x14ac:dyDescent="0.3">
      <c r="A93" s="26" t="s">
        <v>501</v>
      </c>
      <c r="B93" s="26" t="str">
        <f t="shared" si="2"/>
        <v>Résultat</v>
      </c>
      <c r="C93" s="26" t="s">
        <v>478</v>
      </c>
      <c r="D93" s="26" t="s">
        <v>479</v>
      </c>
      <c r="E93" s="26" t="s">
        <v>480</v>
      </c>
      <c r="F93" s="26" t="s">
        <v>481</v>
      </c>
    </row>
    <row r="94" spans="1:6" x14ac:dyDescent="0.3">
      <c r="A94" s="26" t="s">
        <v>502</v>
      </c>
      <c r="B94" s="26" t="str">
        <f t="shared" si="2"/>
        <v>Résultat</v>
      </c>
      <c r="C94" s="26" t="s">
        <v>478</v>
      </c>
      <c r="D94" s="26" t="s">
        <v>479</v>
      </c>
      <c r="E94" s="26" t="s">
        <v>480</v>
      </c>
      <c r="F94" s="26" t="s">
        <v>481</v>
      </c>
    </row>
    <row r="95" spans="1:6" x14ac:dyDescent="0.3">
      <c r="A95" s="26" t="s">
        <v>503</v>
      </c>
      <c r="B95" s="26" t="str">
        <f t="shared" si="2"/>
        <v>Degré total d'autonomie en lumière du jour sur l'ensemble des locaux</v>
      </c>
      <c r="C95" s="259" t="s">
        <v>1106</v>
      </c>
      <c r="D95" s="259" t="s">
        <v>1107</v>
      </c>
      <c r="E95" s="259" t="s">
        <v>1108</v>
      </c>
      <c r="F95" s="259" t="s">
        <v>1109</v>
      </c>
    </row>
    <row r="96" spans="1:6" x14ac:dyDescent="0.3">
      <c r="A96" s="26" t="s">
        <v>504</v>
      </c>
      <c r="B96" s="26" t="str">
        <f t="shared" si="2"/>
        <v>Part de surface avec un résultat insuffisant</v>
      </c>
      <c r="C96" s="259" t="s">
        <v>1102</v>
      </c>
      <c r="D96" s="259" t="s">
        <v>1103</v>
      </c>
      <c r="E96" s="259" t="s">
        <v>1104</v>
      </c>
      <c r="F96" s="259" t="s">
        <v>1105</v>
      </c>
    </row>
    <row r="97" spans="1:6" x14ac:dyDescent="0.3">
      <c r="A97" s="26" t="s">
        <v>505</v>
      </c>
      <c r="B97" s="26" t="str">
        <f t="shared" si="2"/>
        <v>Les exigences du complément ECO</v>
      </c>
      <c r="C97" s="217" t="s">
        <v>1003</v>
      </c>
      <c r="D97" s="217" t="s">
        <v>1004</v>
      </c>
      <c r="E97" s="217" t="s">
        <v>1005</v>
      </c>
      <c r="F97" s="217" t="s">
        <v>1006</v>
      </c>
    </row>
    <row r="99" spans="1:6" x14ac:dyDescent="0.3">
      <c r="A99" s="37" t="s">
        <v>805</v>
      </c>
      <c r="B99" s="37"/>
      <c r="C99" s="37"/>
      <c r="D99" s="37"/>
      <c r="E99" s="37"/>
      <c r="F99" s="37"/>
    </row>
    <row r="100" spans="1:6" x14ac:dyDescent="0.3">
      <c r="A100" s="37" t="s">
        <v>162</v>
      </c>
      <c r="B100" s="37" t="s">
        <v>163</v>
      </c>
      <c r="C100" s="37" t="str">
        <f>C$4</f>
        <v>Deutsch</v>
      </c>
      <c r="D100" s="37" t="str">
        <f>D$4</f>
        <v>Francais</v>
      </c>
      <c r="E100" s="37" t="str">
        <f>E$4</f>
        <v>Italiano</v>
      </c>
      <c r="F100" s="37" t="str">
        <f>F$4</f>
        <v>English</v>
      </c>
    </row>
    <row r="101" spans="1:6" x14ac:dyDescent="0.3">
      <c r="A101" s="26" t="s">
        <v>165</v>
      </c>
      <c r="B101" s="26" t="str">
        <f t="shared" ref="B101:B125" si="3">INDEX($C101:$F101,1,MATCH(Sprachwahl,ListSprache,0))</f>
        <v>Locaux types et vues</v>
      </c>
      <c r="C101" s="26" t="s">
        <v>827</v>
      </c>
      <c r="D101" s="217" t="s">
        <v>961</v>
      </c>
      <c r="E101" s="26" t="s">
        <v>829</v>
      </c>
      <c r="F101" s="26" t="s">
        <v>828</v>
      </c>
    </row>
    <row r="102" spans="1:6" x14ac:dyDescent="0.3">
      <c r="A102" s="26" t="s">
        <v>183</v>
      </c>
      <c r="B102" s="26" t="str">
        <f t="shared" si="3"/>
        <v>Locaux types</v>
      </c>
      <c r="C102" s="26" t="s">
        <v>7</v>
      </c>
      <c r="D102" s="26" t="s">
        <v>226</v>
      </c>
      <c r="E102" s="26" t="s">
        <v>311</v>
      </c>
      <c r="F102" s="26" t="s">
        <v>348</v>
      </c>
    </row>
    <row r="103" spans="1:6" x14ac:dyDescent="0.3">
      <c r="A103" s="26" t="s">
        <v>843</v>
      </c>
      <c r="B103" s="26" t="str">
        <f t="shared" si="3"/>
        <v>Donées du local</v>
      </c>
      <c r="C103" s="26" t="s">
        <v>64</v>
      </c>
      <c r="D103" s="26" t="s">
        <v>232</v>
      </c>
      <c r="E103" s="26" t="s">
        <v>312</v>
      </c>
      <c r="F103" s="26" t="s">
        <v>350</v>
      </c>
    </row>
    <row r="104" spans="1:6" x14ac:dyDescent="0.3">
      <c r="A104" s="26" t="s">
        <v>739</v>
      </c>
      <c r="B104" s="26" t="str">
        <f t="shared" si="3"/>
        <v>Rés.</v>
      </c>
      <c r="C104" s="26" t="s">
        <v>738</v>
      </c>
      <c r="D104" s="26" t="s">
        <v>740</v>
      </c>
      <c r="E104" s="26" t="s">
        <v>741</v>
      </c>
      <c r="F104" s="26" t="s">
        <v>738</v>
      </c>
    </row>
    <row r="105" spans="1:6" x14ac:dyDescent="0.3">
      <c r="A105" s="26" t="s">
        <v>191</v>
      </c>
      <c r="B105" s="26" t="str">
        <f t="shared" si="3"/>
        <v>Nr.</v>
      </c>
      <c r="C105" s="26" t="s">
        <v>48</v>
      </c>
      <c r="D105" s="26" t="s">
        <v>48</v>
      </c>
      <c r="E105" s="26" t="s">
        <v>48</v>
      </c>
      <c r="F105" s="26" t="s">
        <v>349</v>
      </c>
    </row>
    <row r="106" spans="1:6" x14ac:dyDescent="0.3">
      <c r="A106" s="26" t="s">
        <v>174</v>
      </c>
      <c r="B106" s="26" t="str">
        <f t="shared" si="3"/>
        <v>Dénomination du local
-</v>
      </c>
      <c r="C106" s="26" t="s">
        <v>647</v>
      </c>
      <c r="D106" s="217" t="s">
        <v>955</v>
      </c>
      <c r="E106" s="26" t="s">
        <v>648</v>
      </c>
      <c r="F106" s="26" t="s">
        <v>649</v>
      </c>
    </row>
    <row r="107" spans="1:6" ht="24.9" x14ac:dyDescent="0.3">
      <c r="A107" s="26" t="s">
        <v>175</v>
      </c>
      <c r="B107" s="214" t="str">
        <f t="shared" si="3"/>
        <v>Profondeur de la zone utilisée
m</v>
      </c>
      <c r="C107" s="214" t="s">
        <v>962</v>
      </c>
      <c r="D107" s="217" t="s">
        <v>963</v>
      </c>
      <c r="E107" s="214" t="s">
        <v>831</v>
      </c>
      <c r="F107" s="214" t="s">
        <v>833</v>
      </c>
    </row>
    <row r="108" spans="1:6" x14ac:dyDescent="0.3">
      <c r="A108" s="26" t="s">
        <v>176</v>
      </c>
      <c r="B108" s="26" t="str">
        <f t="shared" si="3"/>
        <v>Profondeur de la vue
m</v>
      </c>
      <c r="C108" s="26" t="s">
        <v>802</v>
      </c>
      <c r="D108" s="217" t="s">
        <v>964</v>
      </c>
      <c r="E108" s="26" t="s">
        <v>836</v>
      </c>
      <c r="F108" s="26" t="s">
        <v>837</v>
      </c>
    </row>
    <row r="109" spans="1:6" x14ac:dyDescent="0.3">
      <c r="A109" s="26" t="s">
        <v>177</v>
      </c>
      <c r="B109" s="26" t="str">
        <f t="shared" si="3"/>
        <v>Eléments visibles
-</v>
      </c>
      <c r="C109" s="26" t="s">
        <v>791</v>
      </c>
      <c r="D109" s="217" t="s">
        <v>965</v>
      </c>
      <c r="E109" s="26" t="s">
        <v>838</v>
      </c>
      <c r="F109" s="26" t="s">
        <v>839</v>
      </c>
    </row>
    <row r="110" spans="1:6" x14ac:dyDescent="0.3">
      <c r="A110" s="26" t="s">
        <v>179</v>
      </c>
      <c r="B110" s="26" t="str">
        <f t="shared" si="3"/>
        <v>Résultat
-</v>
      </c>
      <c r="C110" s="26" t="s">
        <v>844</v>
      </c>
      <c r="D110" s="26" t="s">
        <v>845</v>
      </c>
      <c r="E110" s="26" t="s">
        <v>846</v>
      </c>
      <c r="F110" s="26" t="s">
        <v>847</v>
      </c>
    </row>
    <row r="111" spans="1:6" x14ac:dyDescent="0.3">
      <c r="A111" s="26" t="s">
        <v>180</v>
      </c>
      <c r="B111" s="26" t="str">
        <f t="shared" si="3"/>
        <v>Résultat
Pt.</v>
      </c>
      <c r="C111" s="26" t="s">
        <v>858</v>
      </c>
      <c r="D111" s="26" t="s">
        <v>859</v>
      </c>
      <c r="E111" s="26" t="s">
        <v>860</v>
      </c>
      <c r="F111" s="26" t="s">
        <v>861</v>
      </c>
    </row>
    <row r="112" spans="1:6" x14ac:dyDescent="0.3">
      <c r="A112" s="26" t="s">
        <v>492</v>
      </c>
      <c r="B112" s="26" t="str">
        <f t="shared" si="3"/>
        <v>Résultats</v>
      </c>
      <c r="C112" s="26" t="s">
        <v>121</v>
      </c>
      <c r="D112" s="26" t="s">
        <v>239</v>
      </c>
      <c r="E112" s="26" t="s">
        <v>318</v>
      </c>
      <c r="F112" s="26" t="s">
        <v>355</v>
      </c>
    </row>
    <row r="113" spans="1:6" x14ac:dyDescent="0.3">
      <c r="A113" s="26" t="s">
        <v>853</v>
      </c>
      <c r="B113" s="26" t="str">
        <f t="shared" si="3"/>
        <v>Résultats de cette feuille</v>
      </c>
      <c r="C113" s="26" t="s">
        <v>530</v>
      </c>
      <c r="D113" s="26" t="s">
        <v>483</v>
      </c>
      <c r="E113" s="26" t="s">
        <v>630</v>
      </c>
      <c r="F113" s="26" t="s">
        <v>484</v>
      </c>
    </row>
    <row r="114" spans="1:6" x14ac:dyDescent="0.3">
      <c r="A114" s="26" t="s">
        <v>850</v>
      </c>
      <c r="B114" s="26" t="str">
        <f t="shared" si="3"/>
        <v>Report d'un autre justificatif</v>
      </c>
      <c r="C114" s="217" t="s">
        <v>957</v>
      </c>
      <c r="D114" s="217" t="s">
        <v>958</v>
      </c>
      <c r="E114" s="217" t="s">
        <v>959</v>
      </c>
      <c r="F114" s="217" t="s">
        <v>960</v>
      </c>
    </row>
    <row r="115" spans="1:6" x14ac:dyDescent="0.3">
      <c r="A115" s="26" t="s">
        <v>854</v>
      </c>
      <c r="B115" s="26" t="str">
        <f t="shared" si="3"/>
        <v>Résultats globaux</v>
      </c>
      <c r="C115" s="26" t="s">
        <v>488</v>
      </c>
      <c r="D115" s="217" t="s">
        <v>966</v>
      </c>
      <c r="E115" s="26" t="s">
        <v>490</v>
      </c>
      <c r="F115" s="26" t="s">
        <v>491</v>
      </c>
    </row>
    <row r="116" spans="1:6" x14ac:dyDescent="0.3">
      <c r="A116" s="26" t="s">
        <v>496</v>
      </c>
      <c r="B116" s="26" t="str">
        <f t="shared" si="3"/>
        <v>Déscription</v>
      </c>
      <c r="C116" s="26" t="s">
        <v>72</v>
      </c>
      <c r="D116" s="26" t="s">
        <v>485</v>
      </c>
      <c r="E116" s="26" t="s">
        <v>486</v>
      </c>
      <c r="F116" s="26" t="s">
        <v>487</v>
      </c>
    </row>
    <row r="117" spans="1:6" x14ac:dyDescent="0.3">
      <c r="A117" s="26" t="s">
        <v>855</v>
      </c>
      <c r="B117" s="26" t="str">
        <f t="shared" si="3"/>
        <v>Surface nette</v>
      </c>
      <c r="C117" s="26" t="s">
        <v>746</v>
      </c>
      <c r="D117" s="26" t="s">
        <v>477</v>
      </c>
      <c r="E117" s="26" t="s">
        <v>747</v>
      </c>
      <c r="F117" s="26" t="s">
        <v>476</v>
      </c>
    </row>
    <row r="118" spans="1:6" x14ac:dyDescent="0.3">
      <c r="A118" s="26" t="s">
        <v>856</v>
      </c>
      <c r="B118" s="26" t="str">
        <f t="shared" si="3"/>
        <v>Résultat</v>
      </c>
      <c r="C118" s="26" t="s">
        <v>478</v>
      </c>
      <c r="D118" s="26" t="s">
        <v>479</v>
      </c>
      <c r="E118" s="26" t="s">
        <v>480</v>
      </c>
      <c r="F118" s="26" t="s">
        <v>481</v>
      </c>
    </row>
    <row r="119" spans="1:6" x14ac:dyDescent="0.3">
      <c r="A119" s="26" t="s">
        <v>851</v>
      </c>
      <c r="B119" s="26" t="str">
        <f t="shared" si="3"/>
        <v>Surface nette</v>
      </c>
      <c r="C119" s="26" t="s">
        <v>746</v>
      </c>
      <c r="D119" s="26" t="s">
        <v>477</v>
      </c>
      <c r="E119" s="26" t="s">
        <v>747</v>
      </c>
      <c r="F119" s="26" t="s">
        <v>476</v>
      </c>
    </row>
    <row r="120" spans="1:6" x14ac:dyDescent="0.3">
      <c r="A120" s="26" t="s">
        <v>852</v>
      </c>
      <c r="B120" s="26" t="str">
        <f t="shared" si="3"/>
        <v>Surface nette</v>
      </c>
      <c r="C120" s="26" t="s">
        <v>746</v>
      </c>
      <c r="D120" s="26" t="s">
        <v>477</v>
      </c>
      <c r="E120" s="26" t="s">
        <v>747</v>
      </c>
      <c r="F120" s="26" t="s">
        <v>476</v>
      </c>
    </row>
    <row r="121" spans="1:6" x14ac:dyDescent="0.3">
      <c r="A121" s="26" t="s">
        <v>497</v>
      </c>
      <c r="B121" s="26" t="str">
        <f t="shared" si="3"/>
        <v>Résultat</v>
      </c>
      <c r="C121" s="26" t="s">
        <v>478</v>
      </c>
      <c r="D121" s="26" t="s">
        <v>479</v>
      </c>
      <c r="E121" s="26" t="s">
        <v>480</v>
      </c>
      <c r="F121" s="26" t="s">
        <v>481</v>
      </c>
    </row>
    <row r="122" spans="1:6" x14ac:dyDescent="0.3">
      <c r="A122" s="26" t="s">
        <v>498</v>
      </c>
      <c r="B122" s="26" t="str">
        <f t="shared" si="3"/>
        <v>Résultat</v>
      </c>
      <c r="C122" s="26" t="s">
        <v>478</v>
      </c>
      <c r="D122" s="26" t="s">
        <v>479</v>
      </c>
      <c r="E122" s="26" t="s">
        <v>480</v>
      </c>
      <c r="F122" s="26" t="s">
        <v>481</v>
      </c>
    </row>
    <row r="123" spans="1:6" x14ac:dyDescent="0.3">
      <c r="A123" s="26" t="s">
        <v>503</v>
      </c>
      <c r="B123" s="26" t="str">
        <f t="shared" si="3"/>
        <v>Qualité des vues (sur l'ensemble des locaux)</v>
      </c>
      <c r="C123" s="26" t="s">
        <v>840</v>
      </c>
      <c r="D123" s="217" t="s">
        <v>967</v>
      </c>
      <c r="E123" s="26" t="s">
        <v>841</v>
      </c>
      <c r="F123" s="26" t="s">
        <v>842</v>
      </c>
    </row>
    <row r="124" spans="1:6" x14ac:dyDescent="0.3">
      <c r="A124" s="26" t="s">
        <v>504</v>
      </c>
      <c r="B124" s="26" t="str">
        <f t="shared" si="3"/>
        <v>Part de surface avec un résultat insuffisant</v>
      </c>
      <c r="C124" s="259" t="s">
        <v>1102</v>
      </c>
      <c r="D124" s="259" t="s">
        <v>1103</v>
      </c>
      <c r="E124" s="259" t="s">
        <v>1104</v>
      </c>
      <c r="F124" s="259" t="s">
        <v>1105</v>
      </c>
    </row>
    <row r="125" spans="1:6" x14ac:dyDescent="0.3">
      <c r="A125" s="26" t="s">
        <v>505</v>
      </c>
      <c r="B125" s="26" t="str">
        <f t="shared" si="3"/>
        <v>Les exigences du complément ECO</v>
      </c>
      <c r="C125" s="217" t="s">
        <v>1003</v>
      </c>
      <c r="D125" s="217" t="s">
        <v>1004</v>
      </c>
      <c r="E125" s="217" t="s">
        <v>1005</v>
      </c>
      <c r="F125" s="217" t="s">
        <v>1006</v>
      </c>
    </row>
    <row r="127" spans="1:6" x14ac:dyDescent="0.3">
      <c r="A127" s="37" t="s">
        <v>1013</v>
      </c>
      <c r="B127" s="37"/>
      <c r="C127" s="37"/>
      <c r="D127" s="37"/>
      <c r="E127" s="37"/>
      <c r="F127" s="37"/>
    </row>
    <row r="128" spans="1:6" x14ac:dyDescent="0.3">
      <c r="A128" s="37" t="s">
        <v>162</v>
      </c>
      <c r="B128" s="37" t="s">
        <v>163</v>
      </c>
      <c r="C128" s="37" t="str">
        <f>C$4</f>
        <v>Deutsch</v>
      </c>
      <c r="D128" s="37" t="str">
        <f>D$4</f>
        <v>Francais</v>
      </c>
      <c r="E128" s="37" t="str">
        <f>E$4</f>
        <v>Italiano</v>
      </c>
      <c r="F128" s="37" t="str">
        <f>F$4</f>
        <v>English</v>
      </c>
    </row>
    <row r="129" spans="1:6" x14ac:dyDescent="0.3">
      <c r="A129" s="26" t="s">
        <v>165</v>
      </c>
      <c r="B129" s="26" t="str">
        <f t="shared" ref="B129:B147" si="4">INDEX($C129:$F129,1,MATCH(Sprachwahl,ListSprache,0))</f>
        <v>Questionnaire rénovation</v>
      </c>
      <c r="C129" s="217" t="s">
        <v>968</v>
      </c>
      <c r="D129" s="26" t="s">
        <v>969</v>
      </c>
      <c r="E129" s="26" t="s">
        <v>356</v>
      </c>
      <c r="F129" s="26" t="s">
        <v>970</v>
      </c>
    </row>
    <row r="130" spans="1:6" x14ac:dyDescent="0.3">
      <c r="A130" s="26" t="s">
        <v>164</v>
      </c>
      <c r="B130" s="26" t="str">
        <f t="shared" si="4"/>
        <v>Quéstions</v>
      </c>
      <c r="C130" s="26" t="s">
        <v>49</v>
      </c>
      <c r="D130" s="26" t="s">
        <v>240</v>
      </c>
      <c r="E130" s="26" t="s">
        <v>357</v>
      </c>
      <c r="F130" s="26" t="s">
        <v>370</v>
      </c>
    </row>
    <row r="131" spans="1:6" x14ac:dyDescent="0.3">
      <c r="A131" s="26" t="s">
        <v>200</v>
      </c>
      <c r="B131" s="26" t="str">
        <f t="shared" si="4"/>
        <v>Réponse</v>
      </c>
      <c r="C131" s="26" t="s">
        <v>50</v>
      </c>
      <c r="D131" s="26" t="s">
        <v>241</v>
      </c>
      <c r="E131" s="26" t="s">
        <v>358</v>
      </c>
      <c r="F131" s="26" t="s">
        <v>371</v>
      </c>
    </row>
    <row r="132" spans="1:6" x14ac:dyDescent="0.3">
      <c r="A132" s="26" t="s">
        <v>166</v>
      </c>
      <c r="B132" s="26" t="str">
        <f t="shared" si="4"/>
        <v>Les ouvertures des fenêtres sont-elles maintenues ou augmentées ?</v>
      </c>
      <c r="C132" s="26" t="s">
        <v>53</v>
      </c>
      <c r="D132" s="26" t="s">
        <v>971</v>
      </c>
      <c r="E132" s="26" t="s">
        <v>359</v>
      </c>
      <c r="F132" s="26" t="s">
        <v>372</v>
      </c>
    </row>
    <row r="133" spans="1:6" x14ac:dyDescent="0.3">
      <c r="A133" s="26" t="s">
        <v>201</v>
      </c>
      <c r="B133" s="26" t="str">
        <f t="shared" si="4"/>
        <v>Les surfaces de vitrage sont-elles maintenues ou augmentées ?</v>
      </c>
      <c r="C133" s="26" t="s">
        <v>54</v>
      </c>
      <c r="D133" s="26" t="s">
        <v>972</v>
      </c>
      <c r="E133" s="26" t="s">
        <v>360</v>
      </c>
      <c r="F133" s="26" t="s">
        <v>373</v>
      </c>
    </row>
    <row r="134" spans="1:6" x14ac:dyDescent="0.3">
      <c r="A134" s="26" t="s">
        <v>202</v>
      </c>
      <c r="B134" s="26" t="str">
        <f t="shared" si="4"/>
        <v>A-t-on prêté attention, lors du choix du vitrage, à une valeur de transmission lumineuse élevée (Tau ≥ 70%) ?</v>
      </c>
      <c r="C134" s="26" t="s">
        <v>912</v>
      </c>
      <c r="D134" s="217" t="s">
        <v>973</v>
      </c>
      <c r="E134" s="26" t="s">
        <v>913</v>
      </c>
      <c r="F134" s="26" t="s">
        <v>374</v>
      </c>
    </row>
    <row r="135" spans="1:6" x14ac:dyDescent="0.3">
      <c r="A135" s="26" t="s">
        <v>168</v>
      </c>
      <c r="B135" s="26" t="str">
        <f t="shared" si="4"/>
        <v>Pas d'éléments (p.ex, les balcons, les avant-toits) construits sur la façade qui diminuent la lumière du jour ?</v>
      </c>
      <c r="C135" s="26" t="s">
        <v>57</v>
      </c>
      <c r="D135" s="26" t="s">
        <v>974</v>
      </c>
      <c r="E135" s="26" t="s">
        <v>781</v>
      </c>
      <c r="F135" s="26" t="s">
        <v>375</v>
      </c>
    </row>
    <row r="136" spans="1:6" x14ac:dyDescent="0.3">
      <c r="A136" s="26" t="s">
        <v>203</v>
      </c>
      <c r="B136" s="26" t="str">
        <f t="shared" si="4"/>
        <v xml:space="preserve">Les pièces (au moins les plafonds et les murs) ont-elles été peintes principalement avec des couleurs claires ? </v>
      </c>
      <c r="C136" s="26" t="s">
        <v>55</v>
      </c>
      <c r="D136" s="26" t="s">
        <v>975</v>
      </c>
      <c r="E136" s="26" t="s">
        <v>361</v>
      </c>
      <c r="F136" s="26" t="s">
        <v>376</v>
      </c>
    </row>
    <row r="137" spans="1:6" x14ac:dyDescent="0.3">
      <c r="A137" s="26" t="s">
        <v>169</v>
      </c>
      <c r="B137" s="26" t="str">
        <f t="shared" si="4"/>
        <v>Compte-rendu</v>
      </c>
      <c r="C137" s="26" t="s">
        <v>1</v>
      </c>
      <c r="D137" s="26" t="s">
        <v>242</v>
      </c>
      <c r="E137" s="26" t="s">
        <v>306</v>
      </c>
      <c r="F137" s="26" t="s">
        <v>377</v>
      </c>
    </row>
    <row r="138" spans="1:6" x14ac:dyDescent="0.3">
      <c r="A138" s="26" t="s">
        <v>204</v>
      </c>
      <c r="B138" s="26" t="str">
        <f t="shared" si="4"/>
        <v>CET ONGLET NE DOIT ÊTRE REMPLI QUE DANS LE CAS D’UNE RÉNOVATION</v>
      </c>
      <c r="C138" s="26" t="s">
        <v>976</v>
      </c>
      <c r="D138" s="26" t="s">
        <v>243</v>
      </c>
      <c r="E138" s="26" t="s">
        <v>362</v>
      </c>
      <c r="F138" s="26" t="s">
        <v>378</v>
      </c>
    </row>
    <row r="139" spans="1:6" x14ac:dyDescent="0.3">
      <c r="A139" s="26" t="s">
        <v>204</v>
      </c>
      <c r="B139" s="26" t="str">
        <f t="shared" si="4"/>
        <v>Les exigences du complément ECO pour la rénovation sont remplies. Il est considéré automatiquement un degré de réalisation de lumière du jour de 50% (suffisant).</v>
      </c>
      <c r="C139" s="217" t="s">
        <v>1139</v>
      </c>
      <c r="D139" s="217" t="s">
        <v>1140</v>
      </c>
      <c r="E139" s="217" t="s">
        <v>1141</v>
      </c>
      <c r="F139" s="217" t="s">
        <v>1142</v>
      </c>
    </row>
    <row r="140" spans="1:6" x14ac:dyDescent="0.3">
      <c r="A140" s="26" t="s">
        <v>204</v>
      </c>
      <c r="B140" s="26" t="str">
        <f t="shared" si="4"/>
        <v>Veuillez remplir la feuille 'Lumière du jour' pour l'état après rénovation et déterminer la catégorie de bâtiment qui correspond le mieux à votre projet :</v>
      </c>
      <c r="C140" s="26" t="s">
        <v>977</v>
      </c>
      <c r="D140" s="26" t="s">
        <v>978</v>
      </c>
      <c r="E140" s="26" t="s">
        <v>979</v>
      </c>
      <c r="F140" s="26" t="s">
        <v>980</v>
      </c>
    </row>
    <row r="141" spans="1:6" x14ac:dyDescent="0.3">
      <c r="A141" s="26" t="s">
        <v>205</v>
      </c>
      <c r="B141" s="26" t="str">
        <f t="shared" si="4"/>
        <v>Catégorie de bâtiments (cliquez le bouton)</v>
      </c>
      <c r="C141" s="26" t="s">
        <v>748</v>
      </c>
      <c r="D141" s="26" t="s">
        <v>749</v>
      </c>
      <c r="E141" s="26" t="s">
        <v>751</v>
      </c>
      <c r="F141" s="26" t="s">
        <v>750</v>
      </c>
    </row>
    <row r="142" spans="1:6" x14ac:dyDescent="0.3">
      <c r="A142" s="26" t="s">
        <v>170</v>
      </c>
      <c r="B142" s="26" t="str">
        <f t="shared" si="4"/>
        <v>Habitat</v>
      </c>
      <c r="C142" s="26" t="s">
        <v>31</v>
      </c>
      <c r="D142" s="26" t="s">
        <v>244</v>
      </c>
      <c r="E142" s="26" t="s">
        <v>363</v>
      </c>
      <c r="F142" s="26" t="s">
        <v>379</v>
      </c>
    </row>
    <row r="143" spans="1:6" x14ac:dyDescent="0.3">
      <c r="A143" s="26" t="s">
        <v>208</v>
      </c>
      <c r="B143" s="26" t="str">
        <f t="shared" si="4"/>
        <v>Administration</v>
      </c>
      <c r="C143" s="26" t="s">
        <v>56</v>
      </c>
      <c r="D143" s="26" t="s">
        <v>245</v>
      </c>
      <c r="E143" s="26" t="s">
        <v>364</v>
      </c>
      <c r="F143" s="26" t="s">
        <v>380</v>
      </c>
    </row>
    <row r="144" spans="1:6" x14ac:dyDescent="0.3">
      <c r="A144" s="26" t="s">
        <v>209</v>
      </c>
      <c r="B144" s="26" t="str">
        <f t="shared" si="4"/>
        <v>École</v>
      </c>
      <c r="C144" s="26" t="s">
        <v>15</v>
      </c>
      <c r="D144" s="26" t="s">
        <v>246</v>
      </c>
      <c r="E144" s="26" t="s">
        <v>365</v>
      </c>
      <c r="F144" s="26" t="s">
        <v>381</v>
      </c>
    </row>
    <row r="145" spans="1:6" x14ac:dyDescent="0.3">
      <c r="A145" s="26" t="s">
        <v>210</v>
      </c>
      <c r="B145" s="26" t="str">
        <f t="shared" si="4"/>
        <v>Bâtiments avec une faible proportion de fenêtres</v>
      </c>
      <c r="C145" s="26" t="s">
        <v>58</v>
      </c>
      <c r="D145" s="26" t="s">
        <v>247</v>
      </c>
      <c r="E145" s="26" t="s">
        <v>366</v>
      </c>
      <c r="F145" s="26" t="s">
        <v>382</v>
      </c>
    </row>
    <row r="146" spans="1:6" x14ac:dyDescent="0.3">
      <c r="A146" s="26" t="s">
        <v>211</v>
      </c>
      <c r="B146" s="26" t="str">
        <f t="shared" si="4"/>
        <v>Bâtiments avec une proportion moyenne de fenêtres</v>
      </c>
      <c r="C146" s="26" t="s">
        <v>59</v>
      </c>
      <c r="D146" s="217" t="s">
        <v>981</v>
      </c>
      <c r="E146" s="26" t="s">
        <v>367</v>
      </c>
      <c r="F146" s="26" t="s">
        <v>383</v>
      </c>
    </row>
    <row r="147" spans="1:6" x14ac:dyDescent="0.3">
      <c r="A147" s="26" t="s">
        <v>212</v>
      </c>
      <c r="B147" s="26" t="str">
        <f t="shared" si="4"/>
        <v>Bâtiment avec une proportion élevée de fenêtres</v>
      </c>
      <c r="C147" s="26" t="s">
        <v>60</v>
      </c>
      <c r="D147" s="26" t="s">
        <v>248</v>
      </c>
      <c r="E147" s="26" t="s">
        <v>368</v>
      </c>
      <c r="F147" s="26" t="s">
        <v>384</v>
      </c>
    </row>
    <row r="149" spans="1:6" x14ac:dyDescent="0.3">
      <c r="A149" s="37" t="s">
        <v>198</v>
      </c>
      <c r="B149" s="37"/>
      <c r="C149" s="37"/>
      <c r="D149" s="37"/>
      <c r="E149" s="37"/>
      <c r="F149" s="37"/>
    </row>
    <row r="150" spans="1:6" x14ac:dyDescent="0.3">
      <c r="A150" s="37" t="s">
        <v>162</v>
      </c>
      <c r="B150" s="37" t="s">
        <v>163</v>
      </c>
      <c r="C150" s="37" t="str">
        <f>C$4</f>
        <v>Deutsch</v>
      </c>
      <c r="D150" s="37" t="str">
        <f>D$4</f>
        <v>Francais</v>
      </c>
      <c r="E150" s="37" t="str">
        <f>E$4</f>
        <v>Italiano</v>
      </c>
      <c r="F150" s="37" t="str">
        <f>F$4</f>
        <v>English</v>
      </c>
    </row>
    <row r="151" spans="1:6" x14ac:dyDescent="0.3">
      <c r="A151" s="26" t="s">
        <v>85</v>
      </c>
      <c r="B151" s="26" t="str">
        <f t="shared" ref="B151:B184" si="5">INDEX($C151:$F151,1,MATCH(Sprachwahl,ListSprache,0))</f>
        <v>Halle d'exposition</v>
      </c>
      <c r="C151" s="28" t="s">
        <v>17</v>
      </c>
      <c r="D151" s="28" t="s">
        <v>264</v>
      </c>
      <c r="E151" s="229" t="s">
        <v>405</v>
      </c>
      <c r="F151" s="26" t="s">
        <v>426</v>
      </c>
    </row>
    <row r="152" spans="1:6" x14ac:dyDescent="0.3">
      <c r="B152" s="26" t="str">
        <f t="shared" si="5"/>
        <v>Locaux médicaux</v>
      </c>
      <c r="C152" s="28" t="s">
        <v>408</v>
      </c>
      <c r="D152" s="28" t="s">
        <v>265</v>
      </c>
      <c r="E152" s="229" t="s">
        <v>631</v>
      </c>
      <c r="F152" s="26" t="s">
        <v>427</v>
      </c>
    </row>
    <row r="153" spans="1:6" x14ac:dyDescent="0.3">
      <c r="B153" s="26" t="str">
        <f t="shared" si="5"/>
        <v>Chambre d'hôpital</v>
      </c>
      <c r="C153" s="28" t="s">
        <v>259</v>
      </c>
      <c r="D153" s="28" t="s">
        <v>258</v>
      </c>
      <c r="E153" s="229" t="s">
        <v>406</v>
      </c>
      <c r="F153" s="26" t="s">
        <v>571</v>
      </c>
    </row>
    <row r="154" spans="1:6" x14ac:dyDescent="0.3">
      <c r="B154" s="26" t="str">
        <f t="shared" si="5"/>
        <v>Bibliothèque</v>
      </c>
      <c r="C154" s="28" t="s">
        <v>89</v>
      </c>
      <c r="D154" s="28" t="s">
        <v>262</v>
      </c>
      <c r="E154" s="229" t="s">
        <v>394</v>
      </c>
      <c r="F154" s="26" t="s">
        <v>428</v>
      </c>
    </row>
    <row r="155" spans="1:6" x14ac:dyDescent="0.3">
      <c r="B155" s="26" t="str">
        <f t="shared" si="5"/>
        <v>Bureau individuel, collectif</v>
      </c>
      <c r="C155" s="28" t="s">
        <v>86</v>
      </c>
      <c r="D155" s="28" t="s">
        <v>261</v>
      </c>
      <c r="E155" s="229" t="s">
        <v>388</v>
      </c>
      <c r="F155" s="26" t="s">
        <v>380</v>
      </c>
    </row>
    <row r="156" spans="1:6" x14ac:dyDescent="0.3">
      <c r="B156" s="26" t="str">
        <f t="shared" si="5"/>
        <v>Magasin spécialisé</v>
      </c>
      <c r="C156" s="28" t="s">
        <v>92</v>
      </c>
      <c r="D156" s="26" t="s">
        <v>276</v>
      </c>
      <c r="E156" s="26" t="s">
        <v>413</v>
      </c>
      <c r="F156" s="26" t="s">
        <v>572</v>
      </c>
    </row>
    <row r="157" spans="1:6" x14ac:dyDescent="0.3">
      <c r="B157" s="26" t="str">
        <f t="shared" si="5"/>
        <v>Salle de fitness</v>
      </c>
      <c r="C157" s="28" t="s">
        <v>13</v>
      </c>
      <c r="D157" s="28" t="s">
        <v>266</v>
      </c>
      <c r="E157" s="26" t="s">
        <v>412</v>
      </c>
      <c r="F157" s="26" t="s">
        <v>429</v>
      </c>
    </row>
    <row r="158" spans="1:6" x14ac:dyDescent="0.3">
      <c r="B158" s="26" t="str">
        <f t="shared" si="5"/>
        <v>Bureau paysagé</v>
      </c>
      <c r="C158" s="28" t="s">
        <v>8</v>
      </c>
      <c r="D158" s="28" t="s">
        <v>267</v>
      </c>
      <c r="E158" s="229" t="s">
        <v>389</v>
      </c>
      <c r="F158" s="26" t="s">
        <v>430</v>
      </c>
    </row>
    <row r="159" spans="1:6" x14ac:dyDescent="0.3">
      <c r="B159" s="26" t="str">
        <f t="shared" si="5"/>
        <v>Auditoire</v>
      </c>
      <c r="C159" s="28" t="s">
        <v>0</v>
      </c>
      <c r="D159" s="28" t="s">
        <v>268</v>
      </c>
      <c r="E159" s="229" t="s">
        <v>395</v>
      </c>
      <c r="F159" s="26" t="s">
        <v>431</v>
      </c>
    </row>
    <row r="160" spans="1:6" x14ac:dyDescent="0.3">
      <c r="B160" s="26" t="str">
        <f t="shared" si="5"/>
        <v>Réception, zone d'accueil</v>
      </c>
      <c r="C160" s="27" t="s">
        <v>14</v>
      </c>
      <c r="D160" s="27" t="s">
        <v>260</v>
      </c>
      <c r="E160" s="230" t="s">
        <v>386</v>
      </c>
      <c r="F160" s="26" t="s">
        <v>432</v>
      </c>
    </row>
    <row r="161" spans="2:6" x14ac:dyDescent="0.3">
      <c r="B161" s="26" t="str">
        <f t="shared" si="5"/>
        <v>Chambre d'hôtel</v>
      </c>
      <c r="C161" s="27" t="s">
        <v>30</v>
      </c>
      <c r="D161" s="27" t="s">
        <v>254</v>
      </c>
      <c r="E161" s="230" t="s">
        <v>387</v>
      </c>
      <c r="F161" s="26" t="s">
        <v>433</v>
      </c>
    </row>
    <row r="162" spans="2:6" x14ac:dyDescent="0.3">
      <c r="B162" s="26" t="str">
        <f t="shared" si="5"/>
        <v>Cuisine de restaurant self-service</v>
      </c>
      <c r="C162" s="28" t="s">
        <v>28</v>
      </c>
      <c r="D162" s="28" t="s">
        <v>255</v>
      </c>
      <c r="E162" s="229" t="s">
        <v>402</v>
      </c>
      <c r="F162" s="26" t="s">
        <v>434</v>
      </c>
    </row>
    <row r="163" spans="2:6" x14ac:dyDescent="0.3">
      <c r="B163" s="26" t="str">
        <f t="shared" si="5"/>
        <v>Cuisine de restaurant</v>
      </c>
      <c r="C163" s="28" t="s">
        <v>27</v>
      </c>
      <c r="D163" s="28" t="s">
        <v>256</v>
      </c>
      <c r="E163" s="229" t="s">
        <v>401</v>
      </c>
      <c r="F163" s="26" t="s">
        <v>435</v>
      </c>
    </row>
    <row r="164" spans="2:6" x14ac:dyDescent="0.3">
      <c r="B164" s="26" t="str">
        <f t="shared" si="5"/>
        <v>Cuisine, cuisine d'étage</v>
      </c>
      <c r="C164" s="26" t="s">
        <v>95</v>
      </c>
      <c r="D164" s="26" t="s">
        <v>280</v>
      </c>
      <c r="E164" s="26" t="s">
        <v>414</v>
      </c>
      <c r="F164" s="26" t="s">
        <v>436</v>
      </c>
    </row>
    <row r="165" spans="2:6" x14ac:dyDescent="0.3">
      <c r="B165" s="26" t="str">
        <f t="shared" si="5"/>
        <v>Laboratoire</v>
      </c>
      <c r="C165" s="26" t="s">
        <v>94</v>
      </c>
      <c r="D165" s="26" t="s">
        <v>279</v>
      </c>
      <c r="E165" s="26" t="s">
        <v>411</v>
      </c>
      <c r="F165" s="26" t="s">
        <v>437</v>
      </c>
    </row>
    <row r="166" spans="2:6" x14ac:dyDescent="0.3">
      <c r="B166" s="26" t="str">
        <f t="shared" si="5"/>
        <v>Magasin d'alimentation</v>
      </c>
      <c r="C166" s="28" t="s">
        <v>91</v>
      </c>
      <c r="D166" s="26" t="s">
        <v>275</v>
      </c>
      <c r="E166" s="26" t="s">
        <v>397</v>
      </c>
      <c r="F166" s="26" t="s">
        <v>438</v>
      </c>
    </row>
    <row r="167" spans="2:6" x14ac:dyDescent="0.3">
      <c r="B167" s="26" t="str">
        <f t="shared" si="5"/>
        <v>Salle des maîtres/ lieu de séjour</v>
      </c>
      <c r="C167" s="28" t="s">
        <v>88</v>
      </c>
      <c r="D167" s="28" t="s">
        <v>1011</v>
      </c>
      <c r="E167" s="229" t="s">
        <v>392</v>
      </c>
      <c r="F167" s="26" t="s">
        <v>439</v>
      </c>
    </row>
    <row r="168" spans="2:6" x14ac:dyDescent="0.3">
      <c r="B168" s="26" t="str">
        <f t="shared" si="5"/>
        <v>Salle polyvalente</v>
      </c>
      <c r="C168" s="28" t="s">
        <v>16</v>
      </c>
      <c r="D168" s="26" t="s">
        <v>277</v>
      </c>
      <c r="E168" s="229" t="s">
        <v>404</v>
      </c>
      <c r="F168" s="26" t="s">
        <v>573</v>
      </c>
    </row>
    <row r="169" spans="2:6" x14ac:dyDescent="0.3">
      <c r="B169" s="26" t="str">
        <f t="shared" si="5"/>
        <v>Production (travail fin)</v>
      </c>
      <c r="C169" s="28" t="s">
        <v>20</v>
      </c>
      <c r="D169" s="28" t="s">
        <v>269</v>
      </c>
      <c r="E169" s="229" t="s">
        <v>410</v>
      </c>
      <c r="F169" s="26" t="s">
        <v>440</v>
      </c>
    </row>
    <row r="170" spans="2:6" x14ac:dyDescent="0.3">
      <c r="B170" s="26" t="str">
        <f t="shared" si="5"/>
        <v>Production (travail lourd)</v>
      </c>
      <c r="C170" s="28" t="s">
        <v>19</v>
      </c>
      <c r="D170" s="28" t="s">
        <v>270</v>
      </c>
      <c r="E170" s="229" t="s">
        <v>409</v>
      </c>
      <c r="F170" s="26" t="s">
        <v>441</v>
      </c>
    </row>
    <row r="171" spans="2:6" x14ac:dyDescent="0.3">
      <c r="B171" s="26" t="str">
        <f t="shared" si="5"/>
        <v>Restaurant</v>
      </c>
      <c r="C171" s="28" t="s">
        <v>11</v>
      </c>
      <c r="D171" s="28" t="s">
        <v>11</v>
      </c>
      <c r="E171" s="26" t="s">
        <v>399</v>
      </c>
      <c r="F171" s="26" t="s">
        <v>11</v>
      </c>
    </row>
    <row r="172" spans="2:6" x14ac:dyDescent="0.3">
      <c r="B172" s="26" t="str">
        <f t="shared" si="5"/>
        <v>Hall des guichets, zone clientèle</v>
      </c>
      <c r="C172" s="28" t="s">
        <v>87</v>
      </c>
      <c r="D172" s="28" t="s">
        <v>271</v>
      </c>
      <c r="E172" s="229" t="s">
        <v>391</v>
      </c>
      <c r="F172" s="26" t="s">
        <v>574</v>
      </c>
    </row>
    <row r="173" spans="2:6" x14ac:dyDescent="0.3">
      <c r="B173" s="26" t="str">
        <f t="shared" si="5"/>
        <v>Salle d'école spéciale</v>
      </c>
      <c r="C173" s="28" t="s">
        <v>90</v>
      </c>
      <c r="D173" s="28" t="s">
        <v>272</v>
      </c>
      <c r="E173" s="229" t="s">
        <v>396</v>
      </c>
      <c r="F173" s="26" t="s">
        <v>575</v>
      </c>
    </row>
    <row r="174" spans="2:6" x14ac:dyDescent="0.3">
      <c r="B174" s="26" t="str">
        <f t="shared" si="5"/>
        <v>Salle d'école</v>
      </c>
      <c r="C174" s="28" t="s">
        <v>10</v>
      </c>
      <c r="D174" s="28" t="s">
        <v>263</v>
      </c>
      <c r="E174" s="229" t="s">
        <v>393</v>
      </c>
      <c r="F174" s="26" t="s">
        <v>442</v>
      </c>
    </row>
    <row r="175" spans="2:6" x14ac:dyDescent="0.3">
      <c r="B175" s="26" t="str">
        <f t="shared" si="5"/>
        <v>Piscine couverte (en surface)</v>
      </c>
      <c r="C175" s="229" t="s">
        <v>923</v>
      </c>
      <c r="D175" s="229" t="s">
        <v>924</v>
      </c>
      <c r="E175" s="26" t="s">
        <v>925</v>
      </c>
      <c r="F175" s="26" t="s">
        <v>926</v>
      </c>
    </row>
    <row r="176" spans="2:6" x14ac:dyDescent="0.3">
      <c r="B176" s="26" t="str">
        <f t="shared" si="5"/>
        <v>Piscine couverte (souterrain)</v>
      </c>
      <c r="C176" s="229" t="s">
        <v>927</v>
      </c>
      <c r="D176" s="229" t="s">
        <v>928</v>
      </c>
      <c r="E176" s="26" t="s">
        <v>929</v>
      </c>
      <c r="F176" s="26" t="s">
        <v>930</v>
      </c>
    </row>
    <row r="177" spans="1:6" x14ac:dyDescent="0.3">
      <c r="B177" s="26" t="str">
        <f t="shared" si="5"/>
        <v>Restaurant self-service</v>
      </c>
      <c r="C177" s="28" t="s">
        <v>12</v>
      </c>
      <c r="D177" s="28" t="s">
        <v>257</v>
      </c>
      <c r="E177" s="229" t="s">
        <v>400</v>
      </c>
      <c r="F177" s="26" t="s">
        <v>443</v>
      </c>
    </row>
    <row r="178" spans="1:6" x14ac:dyDescent="0.3">
      <c r="B178" s="26" t="str">
        <f t="shared" si="5"/>
        <v>Salle de réunion</v>
      </c>
      <c r="C178" s="28" t="s">
        <v>9</v>
      </c>
      <c r="D178" s="28" t="s">
        <v>273</v>
      </c>
      <c r="E178" s="229" t="s">
        <v>390</v>
      </c>
      <c r="F178" s="26" t="s">
        <v>444</v>
      </c>
    </row>
    <row r="179" spans="1:6" x14ac:dyDescent="0.3">
      <c r="B179" s="26" t="str">
        <f t="shared" si="5"/>
        <v>Bureau de service hospitalier</v>
      </c>
      <c r="C179" s="28" t="s">
        <v>18</v>
      </c>
      <c r="D179" s="28" t="s">
        <v>274</v>
      </c>
      <c r="E179" s="229" t="s">
        <v>407</v>
      </c>
      <c r="F179" s="26" t="s">
        <v>576</v>
      </c>
    </row>
    <row r="180" spans="1:6" x14ac:dyDescent="0.3">
      <c r="B180" s="26" t="str">
        <f t="shared" si="5"/>
        <v>Salle de gymnastique (en surface)</v>
      </c>
      <c r="C180" s="28" t="s">
        <v>915</v>
      </c>
      <c r="D180" s="229" t="s">
        <v>917</v>
      </c>
      <c r="E180" s="26" t="s">
        <v>918</v>
      </c>
      <c r="F180" s="26" t="s">
        <v>919</v>
      </c>
    </row>
    <row r="181" spans="1:6" x14ac:dyDescent="0.3">
      <c r="B181" s="26" t="str">
        <f t="shared" si="5"/>
        <v>Salle de gymnastique (souterrain)</v>
      </c>
      <c r="C181" s="28" t="s">
        <v>916</v>
      </c>
      <c r="D181" s="229" t="s">
        <v>920</v>
      </c>
      <c r="E181" s="26" t="s">
        <v>921</v>
      </c>
      <c r="F181" s="26" t="s">
        <v>922</v>
      </c>
    </row>
    <row r="182" spans="1:6" x14ac:dyDescent="0.3">
      <c r="B182" s="26" t="str">
        <f t="shared" si="5"/>
        <v>Magasin de meubles, bricolage et jardin</v>
      </c>
      <c r="C182" s="28" t="s">
        <v>93</v>
      </c>
      <c r="D182" s="26" t="s">
        <v>278</v>
      </c>
      <c r="E182" s="229" t="s">
        <v>398</v>
      </c>
      <c r="F182" s="26" t="s">
        <v>577</v>
      </c>
    </row>
    <row r="183" spans="1:6" x14ac:dyDescent="0.3">
      <c r="B183" s="26" t="str">
        <f t="shared" si="5"/>
        <v>Salle de spectacle</v>
      </c>
      <c r="C183" s="28" t="s">
        <v>29</v>
      </c>
      <c r="D183" s="26" t="s">
        <v>281</v>
      </c>
      <c r="E183" s="229" t="s">
        <v>403</v>
      </c>
      <c r="F183" s="26" t="s">
        <v>578</v>
      </c>
    </row>
    <row r="184" spans="1:6" x14ac:dyDescent="0.3">
      <c r="B184" s="26" t="str">
        <f t="shared" si="5"/>
        <v>Séjour, chambre à coucher</v>
      </c>
      <c r="C184" s="27" t="s">
        <v>99</v>
      </c>
      <c r="D184" s="27" t="s">
        <v>253</v>
      </c>
      <c r="E184" s="26" t="s">
        <v>385</v>
      </c>
      <c r="F184" s="26" t="s">
        <v>579</v>
      </c>
    </row>
    <row r="186" spans="1:6" x14ac:dyDescent="0.3">
      <c r="A186" s="26" t="s">
        <v>113</v>
      </c>
      <c r="B186" s="26" t="str">
        <f>INDEX($C186:$F186,1,MATCH(Sprachwahl,ListSprache,0))</f>
        <v>clair</v>
      </c>
      <c r="C186" s="26" t="s">
        <v>114</v>
      </c>
      <c r="D186" s="26" t="s">
        <v>282</v>
      </c>
      <c r="E186" s="26" t="s">
        <v>415</v>
      </c>
      <c r="F186" s="26" t="s">
        <v>445</v>
      </c>
    </row>
    <row r="187" spans="1:6" x14ac:dyDescent="0.3">
      <c r="B187" s="26" t="str">
        <f>INDEX($C187:$F187,1,MATCH(Sprachwahl,ListSprache,0))</f>
        <v>normal</v>
      </c>
      <c r="C187" s="26" t="s">
        <v>116</v>
      </c>
      <c r="D187" s="26" t="s">
        <v>21</v>
      </c>
      <c r="E187" s="26" t="s">
        <v>416</v>
      </c>
      <c r="F187" s="26" t="s">
        <v>21</v>
      </c>
    </row>
    <row r="188" spans="1:6" x14ac:dyDescent="0.3">
      <c r="B188" s="26" t="str">
        <f>INDEX($C188:$F188,1,MATCH(Sprachwahl,ListSprache,0))</f>
        <v>sombre</v>
      </c>
      <c r="C188" s="26" t="s">
        <v>115</v>
      </c>
      <c r="D188" s="26" t="s">
        <v>283</v>
      </c>
      <c r="E188" s="26" t="s">
        <v>417</v>
      </c>
      <c r="F188" s="26" t="s">
        <v>446</v>
      </c>
    </row>
    <row r="190" spans="1:6" x14ac:dyDescent="0.3">
      <c r="A190" s="26" t="s">
        <v>70</v>
      </c>
      <c r="B190" s="26" t="str">
        <f t="shared" ref="B190:B204" si="6">INDEX($C190:$F190,1,MATCH(Sprachwahl,ListSprache,0))</f>
        <v>Motorisé, automatique et à réglage des lamelles</v>
      </c>
      <c r="C190" s="26" t="s">
        <v>100</v>
      </c>
      <c r="D190" s="217" t="s">
        <v>982</v>
      </c>
      <c r="E190" s="26" t="s">
        <v>466</v>
      </c>
      <c r="F190" s="26" t="s">
        <v>461</v>
      </c>
    </row>
    <row r="191" spans="1:6" x14ac:dyDescent="0.3">
      <c r="B191" s="26" t="str">
        <f t="shared" si="6"/>
        <v>Lamelles claires sans système de déflexion</v>
      </c>
      <c r="C191" s="26" t="s">
        <v>101</v>
      </c>
      <c r="D191" s="26" t="s">
        <v>285</v>
      </c>
      <c r="E191" s="26" t="s">
        <v>467</v>
      </c>
      <c r="F191" s="26" t="s">
        <v>462</v>
      </c>
    </row>
    <row r="192" spans="1:6" x14ac:dyDescent="0.3">
      <c r="B192" s="26" t="str">
        <f t="shared" si="6"/>
        <v>Lamelles moyennement claires ou store en tissu translucide</v>
      </c>
      <c r="C192" s="26" t="s">
        <v>102</v>
      </c>
      <c r="D192" s="26" t="s">
        <v>286</v>
      </c>
      <c r="E192" s="26" t="s">
        <v>632</v>
      </c>
      <c r="F192" s="26" t="s">
        <v>463</v>
      </c>
    </row>
    <row r="193" spans="1:6" x14ac:dyDescent="0.3">
      <c r="B193" s="26" t="str">
        <f t="shared" si="6"/>
        <v>Lamelles foncées ou store en tissu peu translucide</v>
      </c>
      <c r="C193" s="26" t="s">
        <v>146</v>
      </c>
      <c r="D193" s="26" t="s">
        <v>287</v>
      </c>
      <c r="E193" s="26" t="s">
        <v>633</v>
      </c>
      <c r="F193" s="26" t="s">
        <v>464</v>
      </c>
    </row>
    <row r="194" spans="1:6" x14ac:dyDescent="0.3">
      <c r="B194" s="26" t="str">
        <f t="shared" si="6"/>
        <v>Store non translucide</v>
      </c>
      <c r="C194" s="26" t="s">
        <v>103</v>
      </c>
      <c r="D194" s="26" t="s">
        <v>288</v>
      </c>
      <c r="E194" s="26" t="s">
        <v>634</v>
      </c>
      <c r="F194" s="26" t="s">
        <v>465</v>
      </c>
    </row>
    <row r="195" spans="1:6" ht="21.75" customHeight="1" x14ac:dyDescent="0.3">
      <c r="B195" s="213" t="str">
        <f t="shared" si="6"/>
        <v>Pas de protection solaire</v>
      </c>
      <c r="C195" s="213" t="s">
        <v>906</v>
      </c>
      <c r="D195" s="213" t="s">
        <v>907</v>
      </c>
      <c r="E195" s="213" t="s">
        <v>908</v>
      </c>
      <c r="F195" s="213" t="s">
        <v>909</v>
      </c>
    </row>
    <row r="196" spans="1:6" x14ac:dyDescent="0.3">
      <c r="A196" s="26" t="s">
        <v>104</v>
      </c>
      <c r="B196" s="26" t="str">
        <f t="shared" si="6"/>
        <v>Motorisé, automatique et à guidage des lamelles</v>
      </c>
      <c r="C196" s="26" t="s">
        <v>105</v>
      </c>
      <c r="D196" s="26" t="s">
        <v>289</v>
      </c>
      <c r="E196" s="26" t="s">
        <v>635</v>
      </c>
      <c r="F196" s="26" t="s">
        <v>457</v>
      </c>
    </row>
    <row r="197" spans="1:6" x14ac:dyDescent="0.3">
      <c r="B197" s="26" t="str">
        <f t="shared" si="6"/>
        <v>Motorisé, automatique, tenant compte de l'ombragement</v>
      </c>
      <c r="C197" s="26" t="s">
        <v>108</v>
      </c>
      <c r="D197" s="26" t="s">
        <v>290</v>
      </c>
      <c r="E197" s="26" t="s">
        <v>636</v>
      </c>
      <c r="F197" s="26" t="s">
        <v>456</v>
      </c>
    </row>
    <row r="198" spans="1:6" x14ac:dyDescent="0.3">
      <c r="B198" s="26" t="str">
        <f t="shared" si="6"/>
        <v>Motorisé à commande automatique</v>
      </c>
      <c r="C198" s="26" t="s">
        <v>106</v>
      </c>
      <c r="D198" s="26" t="s">
        <v>291</v>
      </c>
      <c r="E198" s="26" t="s">
        <v>468</v>
      </c>
      <c r="F198" s="26" t="s">
        <v>455</v>
      </c>
    </row>
    <row r="199" spans="1:6" x14ac:dyDescent="0.3">
      <c r="B199" s="26" t="str">
        <f t="shared" si="6"/>
        <v>Motorisé à actionnement manuel</v>
      </c>
      <c r="C199" s="26" t="s">
        <v>109</v>
      </c>
      <c r="D199" s="26" t="s">
        <v>292</v>
      </c>
      <c r="E199" s="26" t="s">
        <v>637</v>
      </c>
      <c r="F199" s="26" t="s">
        <v>454</v>
      </c>
    </row>
    <row r="200" spans="1:6" x14ac:dyDescent="0.3">
      <c r="B200" s="26" t="str">
        <f t="shared" si="6"/>
        <v>Manuel</v>
      </c>
      <c r="C200" s="26" t="s">
        <v>107</v>
      </c>
      <c r="D200" s="26" t="s">
        <v>293</v>
      </c>
      <c r="E200" s="26" t="s">
        <v>425</v>
      </c>
      <c r="F200" s="26" t="s">
        <v>447</v>
      </c>
    </row>
    <row r="201" spans="1:6" ht="26.25" customHeight="1" x14ac:dyDescent="0.3">
      <c r="B201" s="213" t="str">
        <f t="shared" si="6"/>
        <v>Pas de protection solaire</v>
      </c>
      <c r="C201" s="213" t="s">
        <v>906</v>
      </c>
      <c r="D201" s="213" t="s">
        <v>907</v>
      </c>
      <c r="E201" s="213" t="s">
        <v>908</v>
      </c>
      <c r="F201" s="213" t="s">
        <v>909</v>
      </c>
    </row>
    <row r="202" spans="1:6" x14ac:dyDescent="0.3">
      <c r="A202" s="26" t="s">
        <v>80</v>
      </c>
      <c r="B202" s="26" t="str">
        <f t="shared" si="6"/>
        <v>Vue dégagée, pas ou peu d'ombrage dû à l'horizon</v>
      </c>
      <c r="C202" s="26" t="s">
        <v>81</v>
      </c>
      <c r="D202" s="217" t="s">
        <v>983</v>
      </c>
      <c r="E202" s="26" t="s">
        <v>638</v>
      </c>
      <c r="F202" s="26" t="s">
        <v>460</v>
      </c>
    </row>
    <row r="203" spans="1:6" x14ac:dyDescent="0.3">
      <c r="B203" s="26" t="str">
        <f t="shared" si="6"/>
        <v>Ombrage moyen dû à l'horizon, angle d'obstruction entre 15° et 35°</v>
      </c>
      <c r="C203" s="26" t="s">
        <v>82</v>
      </c>
      <c r="D203" s="217" t="s">
        <v>984</v>
      </c>
      <c r="E203" s="26" t="s">
        <v>639</v>
      </c>
      <c r="F203" s="26" t="s">
        <v>459</v>
      </c>
    </row>
    <row r="204" spans="1:6" x14ac:dyDescent="0.3">
      <c r="B204" s="26" t="str">
        <f t="shared" si="6"/>
        <v>Emplacement en ville, ombrage important dû à l'horizon</v>
      </c>
      <c r="C204" s="26" t="s">
        <v>83</v>
      </c>
      <c r="D204" s="217" t="s">
        <v>985</v>
      </c>
      <c r="E204" s="26" t="s">
        <v>469</v>
      </c>
      <c r="F204" s="26" t="s">
        <v>458</v>
      </c>
    </row>
    <row r="206" spans="1:6" x14ac:dyDescent="0.3">
      <c r="A206" s="26" t="s">
        <v>792</v>
      </c>
      <c r="B206" s="26" t="str">
        <f t="shared" ref="B206:B212" si="7">INDEX($C206:$F206,1,MATCH(Sprachwahl,ListSprache,0))</f>
        <v>Seul paysage</v>
      </c>
      <c r="C206" s="26" t="s">
        <v>796</v>
      </c>
      <c r="D206" s="26" t="s">
        <v>811</v>
      </c>
      <c r="E206" s="26" t="s">
        <v>812</v>
      </c>
      <c r="F206" s="26" t="s">
        <v>806</v>
      </c>
    </row>
    <row r="207" spans="1:6" x14ac:dyDescent="0.3">
      <c r="B207" s="26" t="str">
        <f t="shared" si="7"/>
        <v>Paysage et terre</v>
      </c>
      <c r="C207" s="26" t="s">
        <v>793</v>
      </c>
      <c r="D207" s="26" t="s">
        <v>819</v>
      </c>
      <c r="E207" s="26" t="s">
        <v>815</v>
      </c>
      <c r="F207" s="26" t="s">
        <v>823</v>
      </c>
    </row>
    <row r="208" spans="1:6" x14ac:dyDescent="0.3">
      <c r="B208" s="26" t="str">
        <f t="shared" si="7"/>
        <v>Paysage et ciel</v>
      </c>
      <c r="C208" s="26" t="s">
        <v>794</v>
      </c>
      <c r="D208" s="26" t="s">
        <v>809</v>
      </c>
      <c r="E208" s="26" t="s">
        <v>813</v>
      </c>
      <c r="F208" s="26" t="s">
        <v>807</v>
      </c>
    </row>
    <row r="209" spans="1:6" x14ac:dyDescent="0.3">
      <c r="B209" s="26" t="str">
        <f t="shared" si="7"/>
        <v>Paysage, terre et ciel</v>
      </c>
      <c r="C209" s="26" t="s">
        <v>795</v>
      </c>
      <c r="D209" s="26" t="s">
        <v>820</v>
      </c>
      <c r="E209" s="26" t="s">
        <v>816</v>
      </c>
      <c r="F209" s="26" t="s">
        <v>824</v>
      </c>
    </row>
    <row r="210" spans="1:6" x14ac:dyDescent="0.3">
      <c r="B210" s="26" t="str">
        <f t="shared" si="7"/>
        <v>Seul terre</v>
      </c>
      <c r="C210" s="26" t="s">
        <v>797</v>
      </c>
      <c r="D210" s="26" t="s">
        <v>821</v>
      </c>
      <c r="E210" s="26" t="s">
        <v>817</v>
      </c>
      <c r="F210" s="26" t="s">
        <v>825</v>
      </c>
    </row>
    <row r="211" spans="1:6" x14ac:dyDescent="0.3">
      <c r="B211" s="26" t="str">
        <f t="shared" si="7"/>
        <v>Seul ciel</v>
      </c>
      <c r="C211" s="26" t="s">
        <v>798</v>
      </c>
      <c r="D211" s="26" t="s">
        <v>810</v>
      </c>
      <c r="E211" s="26" t="s">
        <v>814</v>
      </c>
      <c r="F211" s="26" t="s">
        <v>808</v>
      </c>
    </row>
    <row r="212" spans="1:6" x14ac:dyDescent="0.3">
      <c r="B212" s="26" t="str">
        <f t="shared" si="7"/>
        <v>terre et ciel</v>
      </c>
      <c r="C212" s="26" t="s">
        <v>799</v>
      </c>
      <c r="D212" s="26" t="s">
        <v>822</v>
      </c>
      <c r="E212" s="26" t="s">
        <v>818</v>
      </c>
      <c r="F212" s="26" t="s">
        <v>826</v>
      </c>
    </row>
    <row r="214" spans="1:6" x14ac:dyDescent="0.3">
      <c r="A214" s="26" t="s">
        <v>849</v>
      </c>
      <c r="B214" s="26" t="str">
        <f>INDEX($C214:$F214,1,MATCH(Sprachwahl,ListSprache,0))</f>
        <v>haut</v>
      </c>
      <c r="C214" s="217" t="s">
        <v>1019</v>
      </c>
      <c r="D214" s="217" t="s">
        <v>1022</v>
      </c>
      <c r="E214" s="217" t="s">
        <v>1025</v>
      </c>
      <c r="F214" s="217" t="s">
        <v>1030</v>
      </c>
    </row>
    <row r="215" spans="1:6" x14ac:dyDescent="0.3">
      <c r="B215" s="26" t="str">
        <f>INDEX($C215:$F215,1,MATCH(Sprachwahl,ListSprache,0))</f>
        <v>moyenne</v>
      </c>
      <c r="C215" s="217" t="s">
        <v>1020</v>
      </c>
      <c r="D215" s="217" t="s">
        <v>1023</v>
      </c>
      <c r="E215" s="217" t="s">
        <v>1026</v>
      </c>
      <c r="F215" s="217" t="s">
        <v>1031</v>
      </c>
    </row>
    <row r="216" spans="1:6" x14ac:dyDescent="0.3">
      <c r="B216" s="26" t="str">
        <f>INDEX($C216:$F216,1,MATCH(Sprachwahl,ListSprache,0))</f>
        <v>minimale</v>
      </c>
      <c r="C216" s="217" t="s">
        <v>1099</v>
      </c>
      <c r="D216" s="217" t="s">
        <v>1100</v>
      </c>
      <c r="E216" s="217" t="s">
        <v>1027</v>
      </c>
      <c r="F216" s="217" t="s">
        <v>1099</v>
      </c>
    </row>
    <row r="217" spans="1:6" x14ac:dyDescent="0.3">
      <c r="B217" s="26" t="str">
        <f>INDEX($C217:$F217,1,MATCH(Sprachwahl,ListSprache,0))</f>
        <v>insuffisant</v>
      </c>
      <c r="C217" s="217" t="s">
        <v>1021</v>
      </c>
      <c r="D217" s="217" t="s">
        <v>1024</v>
      </c>
      <c r="E217" s="217" t="s">
        <v>1028</v>
      </c>
      <c r="F217" s="217" t="s">
        <v>1029</v>
      </c>
    </row>
    <row r="219" spans="1:6" x14ac:dyDescent="0.3">
      <c r="A219" s="26" t="s">
        <v>199</v>
      </c>
      <c r="B219" s="26" t="str">
        <f>INDEX($C219:$F219,1,MATCH(Sprachwahl,ListSprache,0))</f>
        <v>sont bien remplies</v>
      </c>
      <c r="C219" s="26" t="s">
        <v>157</v>
      </c>
      <c r="D219" s="26" t="s">
        <v>224</v>
      </c>
      <c r="E219" s="26" t="s">
        <v>419</v>
      </c>
      <c r="F219" s="26" t="s">
        <v>782</v>
      </c>
    </row>
    <row r="220" spans="1:6" x14ac:dyDescent="0.3">
      <c r="B220" s="26" t="str">
        <f>INDEX($C220:$F220,1,MATCH(Sprachwahl,ListSprache,0))</f>
        <v>sont remplies</v>
      </c>
      <c r="C220" s="26" t="s">
        <v>158</v>
      </c>
      <c r="D220" s="26" t="s">
        <v>222</v>
      </c>
      <c r="E220" s="26" t="s">
        <v>420</v>
      </c>
      <c r="F220" s="26" t="s">
        <v>783</v>
      </c>
    </row>
    <row r="221" spans="1:6" x14ac:dyDescent="0.3">
      <c r="B221" s="26" t="str">
        <f>INDEX($C221:$F221,1,MATCH(Sprachwahl,ListSprache,0))</f>
        <v>ne sont pas remplies</v>
      </c>
      <c r="C221" s="26" t="s">
        <v>159</v>
      </c>
      <c r="D221" s="26" t="s">
        <v>223</v>
      </c>
      <c r="E221" s="26" t="s">
        <v>418</v>
      </c>
      <c r="F221" s="26" t="s">
        <v>784</v>
      </c>
    </row>
    <row r="223" spans="1:6" x14ac:dyDescent="0.3">
      <c r="A223" s="26" t="s">
        <v>1033</v>
      </c>
      <c r="B223" s="26" t="str">
        <f>INDEX($C223:$F223,1,MATCH(Sprachwahl,ListSprache,0))</f>
        <v>Construction nouvelle</v>
      </c>
      <c r="C223" s="26" t="s">
        <v>22</v>
      </c>
      <c r="D223" s="217" t="s">
        <v>1008</v>
      </c>
      <c r="E223" s="26" t="s">
        <v>421</v>
      </c>
      <c r="F223" s="26" t="s">
        <v>41</v>
      </c>
    </row>
    <row r="224" spans="1:6" x14ac:dyDescent="0.3">
      <c r="B224" s="26" t="str">
        <f>INDEX($C224:$F224,1,MATCH(Sprachwahl,ListSprache,0))</f>
        <v>Rénovation</v>
      </c>
      <c r="C224" s="217" t="s">
        <v>1002</v>
      </c>
      <c r="D224" s="26" t="s">
        <v>284</v>
      </c>
      <c r="E224" s="26" t="s">
        <v>422</v>
      </c>
      <c r="F224" s="26" t="s">
        <v>42</v>
      </c>
    </row>
    <row r="225" spans="1:6" x14ac:dyDescent="0.3">
      <c r="C225" s="217"/>
    </row>
    <row r="226" spans="1:6" x14ac:dyDescent="0.3">
      <c r="A226" s="26" t="s">
        <v>1037</v>
      </c>
      <c r="B226" s="26" t="str">
        <f t="shared" ref="B226:B238" si="8">INDEX($C226:$F226,1,MATCH(Sprachwahl,ListSprache,0))</f>
        <v>Habitat collectif</v>
      </c>
      <c r="C226" s="259" t="s">
        <v>1044</v>
      </c>
      <c r="D226" s="259" t="s">
        <v>1050</v>
      </c>
      <c r="E226" s="259" t="s">
        <v>1064</v>
      </c>
      <c r="F226" s="259" t="s">
        <v>1075</v>
      </c>
    </row>
    <row r="227" spans="1:6" x14ac:dyDescent="0.3">
      <c r="B227" s="26" t="str">
        <f t="shared" si="8"/>
        <v>Habitat individuel</v>
      </c>
      <c r="C227" s="259" t="s">
        <v>1045</v>
      </c>
      <c r="D227" s="259" t="s">
        <v>1051</v>
      </c>
      <c r="E227" s="259" t="s">
        <v>1065</v>
      </c>
      <c r="F227" s="259" t="s">
        <v>1076</v>
      </c>
    </row>
    <row r="228" spans="1:6" x14ac:dyDescent="0.3">
      <c r="B228" s="26" t="str">
        <f t="shared" si="8"/>
        <v>Administration</v>
      </c>
      <c r="C228" s="259" t="s">
        <v>56</v>
      </c>
      <c r="D228" s="259" t="s">
        <v>245</v>
      </c>
      <c r="E228" s="259" t="s">
        <v>1066</v>
      </c>
      <c r="F228" s="259" t="s">
        <v>245</v>
      </c>
    </row>
    <row r="229" spans="1:6" x14ac:dyDescent="0.3">
      <c r="B229" s="26" t="str">
        <f t="shared" si="8"/>
        <v>Écoles</v>
      </c>
      <c r="C229" s="259" t="s">
        <v>1017</v>
      </c>
      <c r="D229" s="259" t="s">
        <v>1052</v>
      </c>
      <c r="E229" s="259" t="s">
        <v>1067</v>
      </c>
      <c r="F229" s="259" t="s">
        <v>1077</v>
      </c>
    </row>
    <row r="230" spans="1:6" x14ac:dyDescent="0.3">
      <c r="B230" s="26" t="str">
        <f t="shared" si="8"/>
        <v>Écoles (dérogation)</v>
      </c>
      <c r="C230" s="259" t="s">
        <v>1111</v>
      </c>
      <c r="D230" s="259" t="s">
        <v>1112</v>
      </c>
      <c r="E230" s="259" t="s">
        <v>1113</v>
      </c>
      <c r="F230" s="259" t="s">
        <v>1114</v>
      </c>
    </row>
    <row r="231" spans="1:6" x14ac:dyDescent="0.3">
      <c r="B231" s="26" t="str">
        <f t="shared" si="8"/>
        <v>Commerce</v>
      </c>
      <c r="C231" s="259" t="s">
        <v>1046</v>
      </c>
      <c r="D231" s="259" t="s">
        <v>1053</v>
      </c>
      <c r="E231" s="259" t="s">
        <v>1068</v>
      </c>
      <c r="F231" s="259" t="s">
        <v>1078</v>
      </c>
    </row>
    <row r="232" spans="1:6" x14ac:dyDescent="0.3">
      <c r="B232" s="26" t="str">
        <f t="shared" si="8"/>
        <v>Restauration</v>
      </c>
      <c r="C232" s="259" t="s">
        <v>1060</v>
      </c>
      <c r="D232" s="259" t="s">
        <v>1054</v>
      </c>
      <c r="E232" s="259" t="s">
        <v>1069</v>
      </c>
      <c r="F232" s="259" t="s">
        <v>1060</v>
      </c>
    </row>
    <row r="233" spans="1:6" x14ac:dyDescent="0.3">
      <c r="B233" s="26" t="str">
        <f t="shared" si="8"/>
        <v>Lieux de rassemblement</v>
      </c>
      <c r="C233" s="259" t="s">
        <v>1061</v>
      </c>
      <c r="D233" s="259" t="s">
        <v>1055</v>
      </c>
      <c r="E233" s="259" t="s">
        <v>1070</v>
      </c>
      <c r="F233" s="259" t="s">
        <v>1079</v>
      </c>
    </row>
    <row r="234" spans="1:6" x14ac:dyDescent="0.3">
      <c r="B234" s="26" t="str">
        <f t="shared" si="8"/>
        <v>Hôpitaux</v>
      </c>
      <c r="C234" s="259" t="s">
        <v>1062</v>
      </c>
      <c r="D234" s="259" t="s">
        <v>1056</v>
      </c>
      <c r="E234" s="259" t="s">
        <v>1071</v>
      </c>
      <c r="F234" s="259" t="s">
        <v>1080</v>
      </c>
    </row>
    <row r="235" spans="1:6" x14ac:dyDescent="0.3">
      <c r="B235" s="26" t="str">
        <f t="shared" si="8"/>
        <v>Industrie</v>
      </c>
      <c r="C235" s="259" t="s">
        <v>1047</v>
      </c>
      <c r="D235" s="259" t="s">
        <v>1047</v>
      </c>
      <c r="E235" s="259" t="s">
        <v>1047</v>
      </c>
      <c r="F235" s="259" t="s">
        <v>1081</v>
      </c>
    </row>
    <row r="236" spans="1:6" x14ac:dyDescent="0.3">
      <c r="B236" s="26" t="str">
        <f t="shared" si="8"/>
        <v>Dépôts</v>
      </c>
      <c r="C236" s="259" t="s">
        <v>1048</v>
      </c>
      <c r="D236" s="259" t="s">
        <v>1059</v>
      </c>
      <c r="E236" s="259" t="s">
        <v>1072</v>
      </c>
      <c r="F236" s="259" t="s">
        <v>1082</v>
      </c>
    </row>
    <row r="237" spans="1:6" x14ac:dyDescent="0.3">
      <c r="B237" s="26" t="str">
        <f t="shared" si="8"/>
        <v>Installations sportives</v>
      </c>
      <c r="C237" s="259" t="s">
        <v>1049</v>
      </c>
      <c r="D237" s="259" t="s">
        <v>1057</v>
      </c>
      <c r="E237" s="259" t="s">
        <v>1073</v>
      </c>
      <c r="F237" s="259" t="s">
        <v>1083</v>
      </c>
    </row>
    <row r="238" spans="1:6" x14ac:dyDescent="0.3">
      <c r="B238" s="26" t="str">
        <f t="shared" si="8"/>
        <v>Piscines couvertes</v>
      </c>
      <c r="C238" s="259" t="s">
        <v>1063</v>
      </c>
      <c r="D238" s="259" t="s">
        <v>1058</v>
      </c>
      <c r="E238" s="259" t="s">
        <v>1074</v>
      </c>
      <c r="F238" s="259" t="s">
        <v>1084</v>
      </c>
    </row>
    <row r="240" spans="1:6" x14ac:dyDescent="0.3">
      <c r="A240" s="26" t="s">
        <v>206</v>
      </c>
      <c r="B240" s="26" t="str">
        <f>INDEX($C240:$F240,1,MATCH(Sprachwahl,ListSprache,0))</f>
        <v>Veuillez remplir en premier la feuille 'Questionnaire_rénovation'</v>
      </c>
      <c r="C240" s="26" t="str">
        <f>"Bitte zuerst Tabelle '"&amp;SheetQuestionaire&amp;"' ausfüllen."</f>
        <v>Bitte zuerst Tabelle 'Questionnaire_rénovation' ausfüllen.</v>
      </c>
      <c r="D240" s="26" t="str">
        <f>"Veuillez remplir en premier la feuille '"&amp;SheetQuestionaire&amp;"'"</f>
        <v>Veuillez remplir en premier la feuille 'Questionnaire_rénovation'</v>
      </c>
      <c r="E240" s="26" t="str">
        <f>"Riempire il foglio '"&amp;SheetQuestionaire&amp;"'"</f>
        <v>Riempire il foglio 'Questionnaire_rénovation'</v>
      </c>
      <c r="F240" s="26" t="str">
        <f>"Please fill out the sheet '"&amp;SheetQuestionaire&amp;"' first"</f>
        <v>Please fill out the sheet 'Questionnaire_rénovation' first</v>
      </c>
    </row>
    <row r="241" spans="1:7" x14ac:dyDescent="0.3">
      <c r="B241" s="26" t="str">
        <f>INDEX($C241:$F241,1,MATCH(Sprachwahl,ListSprache,0))</f>
        <v>Veuillez remplir directement les feuilles 'Fenêtres', 'Lumière_du_jour' et 'Vues'</v>
      </c>
      <c r="C241" s="26" t="str">
        <f>"Bitte direkt Tabellenblätter '"&amp;SheetWindow&amp;"', '"&amp;SheetDaylight&amp;"' und '"&amp;SheetViews&amp;"' ausfüllen"</f>
        <v>Bitte direkt Tabellenblätter 'Fenêtres', 'Lumière_du_jour' und 'Vues' ausfüllen</v>
      </c>
      <c r="D241" s="26" t="str">
        <f>"Veuillez remplir directement les feuilles '"&amp;SheetWindow&amp;"', '"&amp;SheetDaylight&amp;"' et '"&amp;SheetViews&amp;"'"</f>
        <v>Veuillez remplir directement les feuilles 'Fenêtres', 'Lumière_du_jour' et 'Vues'</v>
      </c>
      <c r="E241" s="26" t="str">
        <f>"Riempire le foglie '"&amp;SheetWindow&amp;"', '"&amp;SheetDaylight&amp;"' e '"&amp;SheetViews&amp;"'"</f>
        <v>Riempire le foglie 'Fenêtres', 'Lumière_du_jour' e 'Vues'</v>
      </c>
      <c r="F241" s="26" t="str">
        <f>"Please fill out the sheets '"&amp;SheetWindow&amp;"', '"&amp;SheetDaylight&amp;"' and '"&amp;SheetViews&amp;"'"</f>
        <v>Please fill out the sheets 'Fenêtres', 'Lumière_du_jour' and 'Vues'</v>
      </c>
    </row>
    <row r="243" spans="1:7" x14ac:dyDescent="0.3">
      <c r="A243" s="26" t="s">
        <v>207</v>
      </c>
      <c r="B243" s="26" t="str">
        <f>INDEX($C243:$F243,1,MATCH(Sprachwahl,ListSprache,0))</f>
        <v>Oui</v>
      </c>
      <c r="C243" s="26" t="s">
        <v>52</v>
      </c>
      <c r="D243" s="26" t="s">
        <v>298</v>
      </c>
      <c r="E243" s="26" t="s">
        <v>423</v>
      </c>
      <c r="F243" s="26" t="s">
        <v>453</v>
      </c>
    </row>
    <row r="244" spans="1:7" x14ac:dyDescent="0.3">
      <c r="B244" s="26" t="str">
        <f>INDEX($C244:$F244,1,MATCH(Sprachwahl,ListSprache,0))</f>
        <v>Non</v>
      </c>
      <c r="C244" s="26" t="s">
        <v>51</v>
      </c>
      <c r="D244" s="26" t="s">
        <v>297</v>
      </c>
      <c r="E244" s="26" t="s">
        <v>424</v>
      </c>
      <c r="F244" s="26" t="s">
        <v>424</v>
      </c>
    </row>
    <row r="246" spans="1:7" x14ac:dyDescent="0.3">
      <c r="A246" s="26" t="s">
        <v>448</v>
      </c>
      <c r="B246" s="26" t="str">
        <f>INDEX($C246:$F246,1,MATCH(Sprachwahl,ListSprache,0))</f>
        <v>Résumé</v>
      </c>
      <c r="C246" s="26" t="s">
        <v>449</v>
      </c>
      <c r="D246" s="26" t="s">
        <v>451</v>
      </c>
      <c r="E246" s="26" t="s">
        <v>306</v>
      </c>
      <c r="F246" s="26" t="s">
        <v>325</v>
      </c>
    </row>
    <row r="247" spans="1:7" x14ac:dyDescent="0.3">
      <c r="B247" s="26" t="str">
        <f>INDEX($C247:$F247,1,MATCH(Sprachwahl,ListSprache,0))</f>
        <v>Fenêtres</v>
      </c>
      <c r="C247" s="26" t="s">
        <v>62</v>
      </c>
      <c r="D247" s="26" t="s">
        <v>234</v>
      </c>
      <c r="E247" s="26" t="s">
        <v>313</v>
      </c>
      <c r="F247" s="26" t="s">
        <v>354</v>
      </c>
    </row>
    <row r="248" spans="1:7" x14ac:dyDescent="0.3">
      <c r="B248" s="26" t="str">
        <f>INDEX($C248:$F248,1,MATCH(Sprachwahl,ListSprache,0))</f>
        <v>Lumière_du_jour</v>
      </c>
      <c r="C248" s="26" t="s">
        <v>450</v>
      </c>
      <c r="D248" s="26" t="s">
        <v>689</v>
      </c>
      <c r="E248" s="26" t="s">
        <v>688</v>
      </c>
      <c r="F248" s="26" t="s">
        <v>452</v>
      </c>
    </row>
    <row r="249" spans="1:7" x14ac:dyDescent="0.3">
      <c r="B249" s="26" t="str">
        <f>INDEX($C249:$F249,1,MATCH(Sprachwahl,ListSprache,0))</f>
        <v>Vues</v>
      </c>
      <c r="C249" s="26" t="s">
        <v>883</v>
      </c>
      <c r="D249" s="26" t="s">
        <v>885</v>
      </c>
      <c r="E249" s="26" t="s">
        <v>886</v>
      </c>
      <c r="F249" s="26" t="s">
        <v>884</v>
      </c>
    </row>
    <row r="250" spans="1:7" x14ac:dyDescent="0.3">
      <c r="B250" s="26" t="str">
        <f>INDEX($C250:$F250,1,MATCH(Sprachwahl,ListSprache,0))</f>
        <v>Questionnaire_rénovation</v>
      </c>
      <c r="C250" s="26" t="s">
        <v>1012</v>
      </c>
      <c r="D250" s="26" t="s">
        <v>785</v>
      </c>
      <c r="E250" s="26" t="s">
        <v>786</v>
      </c>
      <c r="F250" s="26" t="s">
        <v>787</v>
      </c>
    </row>
    <row r="253" spans="1:7" x14ac:dyDescent="0.3">
      <c r="A253" s="37" t="s">
        <v>471</v>
      </c>
      <c r="B253" s="37"/>
      <c r="C253" s="37"/>
      <c r="D253" s="37"/>
      <c r="E253" s="37"/>
      <c r="F253" s="37"/>
      <c r="G253" s="37"/>
    </row>
    <row r="254" spans="1:7" x14ac:dyDescent="0.3">
      <c r="A254" s="37" t="s">
        <v>516</v>
      </c>
      <c r="B254" s="37" t="s">
        <v>517</v>
      </c>
      <c r="C254" s="37" t="s">
        <v>163</v>
      </c>
      <c r="D254" s="37" t="str">
        <f>C$4</f>
        <v>Deutsch</v>
      </c>
      <c r="E254" s="37" t="str">
        <f>D$4</f>
        <v>Francais</v>
      </c>
      <c r="F254" s="37" t="str">
        <f>E$4</f>
        <v>Italiano</v>
      </c>
      <c r="G254" s="37" t="str">
        <f>F$4</f>
        <v>English</v>
      </c>
    </row>
    <row r="255" spans="1:7" x14ac:dyDescent="0.3">
      <c r="A255" s="170">
        <v>2</v>
      </c>
      <c r="B255" s="26" t="s">
        <v>540</v>
      </c>
      <c r="C255" s="26" t="str">
        <f t="shared" ref="C255:C286" si="9">INDEX($D255:$G255,1,MATCH(Sprachwahl,ListSprache,0))</f>
        <v>Sigle</v>
      </c>
      <c r="D255" s="217" t="s">
        <v>71</v>
      </c>
      <c r="E255" s="217" t="s">
        <v>986</v>
      </c>
      <c r="F255" s="217" t="s">
        <v>987</v>
      </c>
      <c r="G255" s="217" t="s">
        <v>988</v>
      </c>
    </row>
    <row r="256" spans="1:7" x14ac:dyDescent="0.3">
      <c r="A256" s="170"/>
      <c r="C256" s="26" t="str">
        <f t="shared" si="9"/>
        <v>Saisie d'une désignation courte (max. 4 caractères).</v>
      </c>
      <c r="D256" s="217" t="s">
        <v>991</v>
      </c>
      <c r="E256" s="217" t="s">
        <v>994</v>
      </c>
      <c r="F256" s="217" t="s">
        <v>995</v>
      </c>
      <c r="G256" s="217" t="s">
        <v>997</v>
      </c>
    </row>
    <row r="257" spans="1:7" x14ac:dyDescent="0.3">
      <c r="A257" s="170"/>
      <c r="C257" s="26" t="str">
        <f t="shared" si="9"/>
        <v>Erreur</v>
      </c>
      <c r="D257" s="217" t="s">
        <v>531</v>
      </c>
      <c r="E257" s="217" t="s">
        <v>691</v>
      </c>
      <c r="F257" s="217" t="s">
        <v>582</v>
      </c>
      <c r="G257" s="217" t="s">
        <v>664</v>
      </c>
    </row>
    <row r="258" spans="1:7" x14ac:dyDescent="0.3">
      <c r="A258" s="170"/>
      <c r="C258" s="26" t="str">
        <f t="shared" si="9"/>
        <v>Vous pouvez saisir 4 caractères au maximum.</v>
      </c>
      <c r="D258" s="217" t="s">
        <v>992</v>
      </c>
      <c r="E258" s="217" t="s">
        <v>993</v>
      </c>
      <c r="F258" s="217" t="s">
        <v>996</v>
      </c>
      <c r="G258" s="217" t="s">
        <v>998</v>
      </c>
    </row>
    <row r="259" spans="1:7" x14ac:dyDescent="0.3">
      <c r="A259" s="170">
        <v>2</v>
      </c>
      <c r="B259" s="26" t="s">
        <v>541</v>
      </c>
      <c r="C259" s="26" t="str">
        <f t="shared" si="9"/>
        <v>Désignation</v>
      </c>
      <c r="D259" s="26" t="s">
        <v>72</v>
      </c>
      <c r="E259" s="26" t="s">
        <v>692</v>
      </c>
      <c r="F259" s="26" t="s">
        <v>583</v>
      </c>
      <c r="G259" s="26" t="s">
        <v>487</v>
      </c>
    </row>
    <row r="260" spans="1:7" x14ac:dyDescent="0.3">
      <c r="A260" s="170"/>
      <c r="C260" s="26" t="str">
        <f t="shared" si="9"/>
        <v>Veuillez saisir un nom pour la fenêtre</v>
      </c>
      <c r="D260" s="26" t="s">
        <v>557</v>
      </c>
      <c r="E260" s="26" t="s">
        <v>693</v>
      </c>
      <c r="F260" s="26" t="s">
        <v>584</v>
      </c>
      <c r="G260" s="26" t="s">
        <v>665</v>
      </c>
    </row>
    <row r="261" spans="1:7" x14ac:dyDescent="0.3">
      <c r="A261" s="170"/>
      <c r="C261" s="26" t="str">
        <f t="shared" si="9"/>
        <v>Erreur</v>
      </c>
      <c r="D261" s="26" t="s">
        <v>531</v>
      </c>
      <c r="E261" s="26" t="s">
        <v>691</v>
      </c>
      <c r="F261" s="26" t="s">
        <v>582</v>
      </c>
      <c r="G261" s="26" t="s">
        <v>664</v>
      </c>
    </row>
    <row r="262" spans="1:7" x14ac:dyDescent="0.3">
      <c r="A262" s="170"/>
      <c r="C262" s="26" t="str">
        <f t="shared" si="9"/>
        <v>Vous ne pouvez saisir que 25 caractères au maximum.</v>
      </c>
      <c r="D262" s="26" t="s">
        <v>558</v>
      </c>
      <c r="E262" s="26" t="s">
        <v>694</v>
      </c>
      <c r="F262" s="26" t="s">
        <v>585</v>
      </c>
      <c r="G262" s="26" t="s">
        <v>666</v>
      </c>
    </row>
    <row r="263" spans="1:7" x14ac:dyDescent="0.3">
      <c r="A263" s="170">
        <v>2</v>
      </c>
      <c r="B263" s="26" t="s">
        <v>542</v>
      </c>
      <c r="C263" s="26" t="str">
        <f t="shared" si="9"/>
        <v>Largeur</v>
      </c>
      <c r="D263" s="26" t="s">
        <v>67</v>
      </c>
      <c r="E263" s="26" t="s">
        <v>695</v>
      </c>
      <c r="F263" s="26" t="s">
        <v>586</v>
      </c>
      <c r="G263" s="26" t="s">
        <v>667</v>
      </c>
    </row>
    <row r="264" spans="1:7" x14ac:dyDescent="0.3">
      <c r="A264" s="170"/>
      <c r="C264" s="26" t="str">
        <f t="shared" si="9"/>
        <v>Entrez la largeur de la fenêtre (vide de maçonnerie).</v>
      </c>
      <c r="D264" s="26" t="s">
        <v>562</v>
      </c>
      <c r="E264" s="26" t="s">
        <v>696</v>
      </c>
      <c r="F264" s="26" t="s">
        <v>587</v>
      </c>
      <c r="G264" s="26" t="s">
        <v>668</v>
      </c>
    </row>
    <row r="265" spans="1:7" x14ac:dyDescent="0.3">
      <c r="A265" s="170"/>
      <c r="C265" s="26" t="str">
        <f t="shared" si="9"/>
        <v>Erreur</v>
      </c>
      <c r="D265" s="26" t="s">
        <v>531</v>
      </c>
      <c r="E265" s="26" t="s">
        <v>691</v>
      </c>
      <c r="F265" s="26" t="s">
        <v>582</v>
      </c>
      <c r="G265" s="26" t="s">
        <v>664</v>
      </c>
    </row>
    <row r="266" spans="1:7" x14ac:dyDescent="0.3">
      <c r="A266" s="170"/>
      <c r="C266" s="26" t="str">
        <f t="shared" si="9"/>
        <v>Vous devez saisir des valeurs entre 0 et 999.</v>
      </c>
      <c r="D266" s="26" t="s">
        <v>559</v>
      </c>
      <c r="E266" s="26" t="s">
        <v>697</v>
      </c>
      <c r="F266" s="26" t="s">
        <v>588</v>
      </c>
      <c r="G266" s="26" t="s">
        <v>669</v>
      </c>
    </row>
    <row r="267" spans="1:7" x14ac:dyDescent="0.3">
      <c r="A267" s="170">
        <v>2</v>
      </c>
      <c r="B267" s="26" t="s">
        <v>543</v>
      </c>
      <c r="C267" s="26" t="str">
        <f t="shared" si="9"/>
        <v>Hauteur</v>
      </c>
      <c r="D267" s="26" t="s">
        <v>68</v>
      </c>
      <c r="E267" s="26" t="s">
        <v>698</v>
      </c>
      <c r="F267" s="26" t="s">
        <v>589</v>
      </c>
      <c r="G267" s="26" t="s">
        <v>674</v>
      </c>
    </row>
    <row r="268" spans="1:7" x14ac:dyDescent="0.3">
      <c r="A268" s="170"/>
      <c r="C268" s="26" t="str">
        <f t="shared" si="9"/>
        <v>Entrez la hauteur de la fenêtre (vide de maçonnerie).</v>
      </c>
      <c r="D268" s="26" t="s">
        <v>563</v>
      </c>
      <c r="E268" s="26" t="s">
        <v>699</v>
      </c>
      <c r="F268" s="26" t="s">
        <v>590</v>
      </c>
      <c r="G268" s="26" t="s">
        <v>675</v>
      </c>
    </row>
    <row r="269" spans="1:7" x14ac:dyDescent="0.3">
      <c r="A269" s="170"/>
      <c r="C269" s="26" t="str">
        <f t="shared" si="9"/>
        <v>Erreur</v>
      </c>
      <c r="D269" s="26" t="s">
        <v>531</v>
      </c>
      <c r="E269" s="26" t="s">
        <v>691</v>
      </c>
      <c r="F269" s="26" t="s">
        <v>582</v>
      </c>
      <c r="G269" s="26" t="s">
        <v>664</v>
      </c>
    </row>
    <row r="270" spans="1:7" x14ac:dyDescent="0.3">
      <c r="A270" s="170"/>
      <c r="C270" s="26" t="str">
        <f t="shared" si="9"/>
        <v>Vous devez saisir des valeurs entre 0 et 999.</v>
      </c>
      <c r="D270" s="26" t="s">
        <v>559</v>
      </c>
      <c r="E270" s="26" t="s">
        <v>697</v>
      </c>
      <c r="F270" s="26" t="s">
        <v>588</v>
      </c>
      <c r="G270" s="26" t="s">
        <v>669</v>
      </c>
    </row>
    <row r="271" spans="1:7" x14ac:dyDescent="0.3">
      <c r="A271" s="170">
        <v>2</v>
      </c>
      <c r="B271" s="26" t="s">
        <v>544</v>
      </c>
      <c r="C271" s="26" t="str">
        <f t="shared" si="9"/>
        <v>Pourcentage de surface vitrée</v>
      </c>
      <c r="D271" s="26" t="s">
        <v>546</v>
      </c>
      <c r="E271" s="26" t="s">
        <v>700</v>
      </c>
      <c r="F271" s="26" t="s">
        <v>591</v>
      </c>
      <c r="G271" s="26" t="s">
        <v>676</v>
      </c>
    </row>
    <row r="272" spans="1:7" x14ac:dyDescent="0.3">
      <c r="A272" s="170"/>
      <c r="C272" s="26" t="str">
        <f t="shared" si="9"/>
        <v>Entrez le pourcentage de surface vitrée.</v>
      </c>
      <c r="D272" s="26" t="s">
        <v>564</v>
      </c>
      <c r="E272" s="26" t="s">
        <v>701</v>
      </c>
      <c r="F272" s="26" t="s">
        <v>592</v>
      </c>
      <c r="G272" s="26" t="s">
        <v>677</v>
      </c>
    </row>
    <row r="273" spans="1:7" x14ac:dyDescent="0.3">
      <c r="A273" s="170"/>
      <c r="C273" s="26" t="str">
        <f t="shared" si="9"/>
        <v>Erreur</v>
      </c>
      <c r="D273" s="26" t="s">
        <v>531</v>
      </c>
      <c r="E273" s="26" t="s">
        <v>691</v>
      </c>
      <c r="F273" s="26" t="s">
        <v>582</v>
      </c>
      <c r="G273" s="26" t="s">
        <v>664</v>
      </c>
    </row>
    <row r="274" spans="1:7" x14ac:dyDescent="0.3">
      <c r="A274" s="170"/>
      <c r="C274" s="26" t="str">
        <f t="shared" si="9"/>
        <v>Vous devez saisir des valeurs entre 0% et 100%.</v>
      </c>
      <c r="D274" s="26" t="s">
        <v>560</v>
      </c>
      <c r="E274" s="26" t="s">
        <v>702</v>
      </c>
      <c r="F274" s="26" t="s">
        <v>593</v>
      </c>
      <c r="G274" s="26" t="s">
        <v>671</v>
      </c>
    </row>
    <row r="275" spans="1:7" x14ac:dyDescent="0.3">
      <c r="A275" s="170">
        <v>2</v>
      </c>
      <c r="B275" s="26" t="s">
        <v>545</v>
      </c>
      <c r="C275" s="26" t="str">
        <f t="shared" si="9"/>
        <v>Tau</v>
      </c>
      <c r="D275" s="26" t="s">
        <v>69</v>
      </c>
      <c r="E275" s="26" t="s">
        <v>69</v>
      </c>
      <c r="F275" s="26" t="s">
        <v>594</v>
      </c>
      <c r="G275" s="26" t="s">
        <v>678</v>
      </c>
    </row>
    <row r="276" spans="1:7" ht="15" customHeight="1" x14ac:dyDescent="0.3">
      <c r="A276" s="170"/>
      <c r="C276" s="26" t="str">
        <f t="shared" si="9"/>
        <v xml:space="preserve">Entrez la valeur de transmission lumineuse de la vitre. 
Attention: dans le cas d'un autre vitrage disposé devant la fenêtre (fenêtres à caisson, double façades, etc.), la valeur Tau sera a multiplier en conséquence. </v>
      </c>
      <c r="D276" s="214" t="s">
        <v>911</v>
      </c>
      <c r="E276" s="26" t="s">
        <v>703</v>
      </c>
      <c r="F276" s="26" t="s">
        <v>595</v>
      </c>
      <c r="G276" s="26" t="s">
        <v>679</v>
      </c>
    </row>
    <row r="277" spans="1:7" x14ac:dyDescent="0.3">
      <c r="A277" s="170"/>
      <c r="C277" s="26" t="str">
        <f t="shared" si="9"/>
        <v>Erreur</v>
      </c>
      <c r="D277" s="26" t="s">
        <v>531</v>
      </c>
      <c r="E277" s="26" t="s">
        <v>691</v>
      </c>
      <c r="F277" s="26" t="s">
        <v>582</v>
      </c>
      <c r="G277" s="26" t="s">
        <v>664</v>
      </c>
    </row>
    <row r="278" spans="1:7" x14ac:dyDescent="0.3">
      <c r="A278" s="170"/>
      <c r="C278" s="26" t="str">
        <f t="shared" si="9"/>
        <v>Vous devez saisir des valeurs entre 0% et 100%.</v>
      </c>
      <c r="D278" s="26" t="s">
        <v>560</v>
      </c>
      <c r="E278" s="26" t="s">
        <v>702</v>
      </c>
      <c r="F278" s="26" t="s">
        <v>593</v>
      </c>
      <c r="G278" s="26" t="s">
        <v>671</v>
      </c>
    </row>
    <row r="279" spans="1:7" x14ac:dyDescent="0.3">
      <c r="A279" s="170">
        <v>2</v>
      </c>
      <c r="B279" s="26" t="s">
        <v>549</v>
      </c>
      <c r="C279" s="26" t="str">
        <f t="shared" si="9"/>
        <v>Linteau</v>
      </c>
      <c r="D279" s="26" t="s">
        <v>547</v>
      </c>
      <c r="E279" s="26" t="s">
        <v>704</v>
      </c>
      <c r="F279" s="26" t="s">
        <v>596</v>
      </c>
      <c r="G279" s="26" t="s">
        <v>673</v>
      </c>
    </row>
    <row r="280" spans="1:7" x14ac:dyDescent="0.3">
      <c r="A280" s="170"/>
      <c r="C280" s="26" t="str">
        <f t="shared" si="9"/>
        <v>Entrez la distance entre le plafond et le vitrage.</v>
      </c>
      <c r="D280" s="26" t="s">
        <v>565</v>
      </c>
      <c r="E280" s="26" t="s">
        <v>705</v>
      </c>
      <c r="F280" s="26" t="s">
        <v>597</v>
      </c>
      <c r="G280" s="26" t="s">
        <v>672</v>
      </c>
    </row>
    <row r="281" spans="1:7" x14ac:dyDescent="0.3">
      <c r="A281" s="170"/>
      <c r="C281" s="26" t="str">
        <f t="shared" si="9"/>
        <v>Erreur</v>
      </c>
      <c r="D281" s="26" t="s">
        <v>531</v>
      </c>
      <c r="E281" s="26" t="s">
        <v>691</v>
      </c>
      <c r="F281" s="26" t="s">
        <v>582</v>
      </c>
      <c r="G281" s="26" t="s">
        <v>664</v>
      </c>
    </row>
    <row r="282" spans="1:7" x14ac:dyDescent="0.3">
      <c r="A282" s="170"/>
      <c r="C282" s="26" t="str">
        <f t="shared" si="9"/>
        <v>Vous devez saisir des valeurs entre 0 et 99.</v>
      </c>
      <c r="D282" s="26" t="s">
        <v>561</v>
      </c>
      <c r="E282" s="26" t="s">
        <v>706</v>
      </c>
      <c r="F282" s="26" t="s">
        <v>588</v>
      </c>
      <c r="G282" s="26" t="s">
        <v>670</v>
      </c>
    </row>
    <row r="283" spans="1:7" x14ac:dyDescent="0.3">
      <c r="A283" s="170">
        <v>2</v>
      </c>
      <c r="B283" s="26" t="s">
        <v>550</v>
      </c>
      <c r="C283" s="26" t="str">
        <f t="shared" si="9"/>
        <v>Porte-à-faux</v>
      </c>
      <c r="D283" s="26" t="s">
        <v>548</v>
      </c>
      <c r="E283" s="26" t="s">
        <v>707</v>
      </c>
      <c r="F283" s="26" t="s">
        <v>598</v>
      </c>
      <c r="G283" s="26" t="s">
        <v>683</v>
      </c>
    </row>
    <row r="284" spans="1:7" x14ac:dyDescent="0.3">
      <c r="A284" s="170"/>
      <c r="C284" s="26" t="str">
        <f t="shared" si="9"/>
        <v>Entrez la distance horizontale entre la fenêtre et le bord avant du porte-à-faux.</v>
      </c>
      <c r="D284" s="26" t="s">
        <v>566</v>
      </c>
      <c r="E284" s="26" t="s">
        <v>708</v>
      </c>
      <c r="F284" s="26" t="s">
        <v>599</v>
      </c>
      <c r="G284" s="26" t="s">
        <v>684</v>
      </c>
    </row>
    <row r="285" spans="1:7" x14ac:dyDescent="0.3">
      <c r="A285" s="170"/>
      <c r="C285" s="26" t="str">
        <f t="shared" si="9"/>
        <v>Erreur</v>
      </c>
      <c r="D285" s="26" t="s">
        <v>531</v>
      </c>
      <c r="E285" s="26" t="s">
        <v>691</v>
      </c>
      <c r="F285" s="26" t="s">
        <v>582</v>
      </c>
      <c r="G285" s="26" t="s">
        <v>664</v>
      </c>
    </row>
    <row r="286" spans="1:7" x14ac:dyDescent="0.3">
      <c r="A286" s="170"/>
      <c r="C286" s="26" t="str">
        <f t="shared" si="9"/>
        <v>Vous devez saisir des valeurs entre 0 et 99.</v>
      </c>
      <c r="D286" s="26" t="s">
        <v>561</v>
      </c>
      <c r="E286" s="26" t="s">
        <v>706</v>
      </c>
      <c r="F286" s="26" t="s">
        <v>588</v>
      </c>
      <c r="G286" s="26" t="s">
        <v>670</v>
      </c>
    </row>
    <row r="287" spans="1:7" x14ac:dyDescent="0.3">
      <c r="A287" s="170">
        <v>2</v>
      </c>
      <c r="B287" s="26" t="s">
        <v>551</v>
      </c>
      <c r="C287" s="26" t="str">
        <f t="shared" ref="C287:C318" si="10">INDEX($D287:$G287,1,MATCH(Sprachwahl,ListSprache,0))</f>
        <v>Lumière zenithale</v>
      </c>
      <c r="D287" s="26" t="s">
        <v>555</v>
      </c>
      <c r="E287" s="26" t="s">
        <v>709</v>
      </c>
      <c r="F287" s="26" t="s">
        <v>600</v>
      </c>
      <c r="G287" s="26" t="s">
        <v>680</v>
      </c>
    </row>
    <row r="288" spans="1:7" x14ac:dyDescent="0.3">
      <c r="A288" s="170"/>
      <c r="C288" s="26" t="str">
        <f t="shared" si="10"/>
        <v>Sélectionnez 'Oui' si la fenêtre est placée au plafond (angle de 0° à 45° par rapport à l'horizontale)</v>
      </c>
      <c r="D288" s="26" t="s">
        <v>567</v>
      </c>
      <c r="E288" s="26" t="s">
        <v>710</v>
      </c>
      <c r="F288" s="26" t="s">
        <v>601</v>
      </c>
      <c r="G288" s="26" t="s">
        <v>681</v>
      </c>
    </row>
    <row r="289" spans="1:7" x14ac:dyDescent="0.3">
      <c r="A289" s="170"/>
      <c r="C289" s="26" t="str">
        <f t="shared" si="10"/>
        <v>Erreur</v>
      </c>
      <c r="D289" s="26" t="s">
        <v>531</v>
      </c>
      <c r="E289" s="26" t="s">
        <v>691</v>
      </c>
      <c r="F289" s="26" t="s">
        <v>582</v>
      </c>
      <c r="G289" s="26" t="s">
        <v>664</v>
      </c>
    </row>
    <row r="290" spans="1:7" x14ac:dyDescent="0.3">
      <c r="A290" s="170"/>
      <c r="C290" s="26" t="str">
        <f t="shared" si="10"/>
        <v>Vous devez sélectionner un élément de la liste.</v>
      </c>
      <c r="D290" s="26" t="s">
        <v>43</v>
      </c>
      <c r="E290" s="26" t="s">
        <v>711</v>
      </c>
      <c r="F290" s="26" t="s">
        <v>602</v>
      </c>
      <c r="G290" s="26" t="s">
        <v>682</v>
      </c>
    </row>
    <row r="291" spans="1:7" x14ac:dyDescent="0.3">
      <c r="A291" s="170">
        <v>2</v>
      </c>
      <c r="B291" s="26" t="s">
        <v>552</v>
      </c>
      <c r="C291" s="26" t="str">
        <f t="shared" si="10"/>
        <v>Type de protection solaire</v>
      </c>
      <c r="D291" s="26" t="s">
        <v>556</v>
      </c>
      <c r="E291" s="26" t="s">
        <v>712</v>
      </c>
      <c r="F291" s="26" t="s">
        <v>603</v>
      </c>
      <c r="G291" s="26" t="s">
        <v>776</v>
      </c>
    </row>
    <row r="292" spans="1:7" x14ac:dyDescent="0.3">
      <c r="A292" s="170"/>
      <c r="C292" s="26" t="str">
        <f t="shared" si="10"/>
        <v>Sélectionnez le type de protection solaire qui correspond le mieux dans la liste.</v>
      </c>
      <c r="D292" s="26" t="s">
        <v>568</v>
      </c>
      <c r="E292" s="26" t="s">
        <v>713</v>
      </c>
      <c r="F292" s="26" t="s">
        <v>604</v>
      </c>
      <c r="G292" s="26" t="s">
        <v>777</v>
      </c>
    </row>
    <row r="293" spans="1:7" x14ac:dyDescent="0.3">
      <c r="A293" s="170"/>
      <c r="C293" s="26" t="str">
        <f t="shared" si="10"/>
        <v>Erreur</v>
      </c>
      <c r="D293" s="26" t="s">
        <v>531</v>
      </c>
      <c r="E293" s="26" t="s">
        <v>691</v>
      </c>
      <c r="F293" s="26" t="s">
        <v>582</v>
      </c>
      <c r="G293" s="26" t="s">
        <v>664</v>
      </c>
    </row>
    <row r="294" spans="1:7" x14ac:dyDescent="0.3">
      <c r="A294" s="170"/>
      <c r="C294" s="26" t="str">
        <f t="shared" si="10"/>
        <v>Vous devez sélectionner un élément de la liste.</v>
      </c>
      <c r="D294" s="26" t="s">
        <v>43</v>
      </c>
      <c r="E294" s="26" t="s">
        <v>711</v>
      </c>
      <c r="F294" s="26" t="s">
        <v>602</v>
      </c>
      <c r="G294" s="26" t="s">
        <v>682</v>
      </c>
    </row>
    <row r="295" spans="1:7" x14ac:dyDescent="0.3">
      <c r="A295" s="170">
        <v>2</v>
      </c>
      <c r="B295" s="26" t="s">
        <v>553</v>
      </c>
      <c r="C295" s="26" t="str">
        <f t="shared" si="10"/>
        <v>Commande</v>
      </c>
      <c r="D295" s="26" t="s">
        <v>110</v>
      </c>
      <c r="E295" s="26" t="s">
        <v>714</v>
      </c>
      <c r="F295" s="26" t="s">
        <v>605</v>
      </c>
      <c r="G295" s="26" t="s">
        <v>778</v>
      </c>
    </row>
    <row r="296" spans="1:7" x14ac:dyDescent="0.3">
      <c r="A296" s="170"/>
      <c r="C296" s="26" t="str">
        <f t="shared" si="10"/>
        <v>Sélectionnez le type de commande qui correspond le mieux dans la liste.</v>
      </c>
      <c r="D296" s="26" t="s">
        <v>569</v>
      </c>
      <c r="E296" s="26" t="s">
        <v>715</v>
      </c>
      <c r="F296" s="26" t="s">
        <v>606</v>
      </c>
      <c r="G296" s="26" t="s">
        <v>779</v>
      </c>
    </row>
    <row r="297" spans="1:7" x14ac:dyDescent="0.3">
      <c r="A297" s="170"/>
      <c r="C297" s="26" t="str">
        <f t="shared" si="10"/>
        <v>Erreur</v>
      </c>
      <c r="D297" s="26" t="s">
        <v>531</v>
      </c>
      <c r="E297" s="26" t="s">
        <v>691</v>
      </c>
      <c r="F297" s="26" t="s">
        <v>582</v>
      </c>
      <c r="G297" s="26" t="s">
        <v>664</v>
      </c>
    </row>
    <row r="298" spans="1:7" x14ac:dyDescent="0.3">
      <c r="A298" s="170"/>
      <c r="C298" s="26" t="str">
        <f t="shared" si="10"/>
        <v>Vous devez sélectionner un élément de la liste.</v>
      </c>
      <c r="D298" s="26" t="s">
        <v>43</v>
      </c>
      <c r="E298" s="26" t="s">
        <v>711</v>
      </c>
      <c r="F298" s="26" t="s">
        <v>602</v>
      </c>
      <c r="G298" s="26" t="s">
        <v>759</v>
      </c>
    </row>
    <row r="299" spans="1:7" x14ac:dyDescent="0.3">
      <c r="A299" s="170">
        <v>2</v>
      </c>
      <c r="B299" s="26" t="s">
        <v>554</v>
      </c>
      <c r="C299" s="26" t="str">
        <f t="shared" si="10"/>
        <v>Ombrage</v>
      </c>
      <c r="D299" s="26" t="s">
        <v>125</v>
      </c>
      <c r="E299" s="26" t="s">
        <v>716</v>
      </c>
      <c r="F299" s="26" t="s">
        <v>607</v>
      </c>
      <c r="G299" s="26" t="s">
        <v>767</v>
      </c>
    </row>
    <row r="300" spans="1:7" x14ac:dyDescent="0.3">
      <c r="A300" s="170"/>
      <c r="C300" s="26" t="str">
        <f t="shared" si="10"/>
        <v>Sélectionnez la situation de la façade dans laquelle la fenêtre est placée qui correspond le mieux.</v>
      </c>
      <c r="D300" s="26" t="s">
        <v>570</v>
      </c>
      <c r="E300" s="26" t="s">
        <v>717</v>
      </c>
      <c r="F300" s="26" t="s">
        <v>608</v>
      </c>
      <c r="G300" s="26" t="s">
        <v>780</v>
      </c>
    </row>
    <row r="301" spans="1:7" x14ac:dyDescent="0.3">
      <c r="A301" s="170"/>
      <c r="C301" s="26" t="str">
        <f t="shared" si="10"/>
        <v>Erreur</v>
      </c>
      <c r="D301" s="26" t="s">
        <v>531</v>
      </c>
      <c r="E301" s="26" t="s">
        <v>691</v>
      </c>
      <c r="F301" s="26" t="s">
        <v>582</v>
      </c>
      <c r="G301" s="26" t="s">
        <v>664</v>
      </c>
    </row>
    <row r="302" spans="1:7" x14ac:dyDescent="0.3">
      <c r="A302" s="170"/>
      <c r="C302" s="26" t="str">
        <f t="shared" si="10"/>
        <v>Vous devez sélectionner un élément de la liste.</v>
      </c>
      <c r="D302" s="26" t="s">
        <v>43</v>
      </c>
      <c r="E302" s="26" t="s">
        <v>711</v>
      </c>
      <c r="F302" s="26" t="s">
        <v>602</v>
      </c>
      <c r="G302" s="26" t="s">
        <v>759</v>
      </c>
    </row>
    <row r="303" spans="1:7" x14ac:dyDescent="0.3">
      <c r="A303" s="169">
        <v>3</v>
      </c>
      <c r="B303" s="26" t="s">
        <v>518</v>
      </c>
      <c r="C303" s="26" t="str">
        <f t="shared" si="10"/>
        <v>Local typique</v>
      </c>
      <c r="D303" s="26" t="s">
        <v>36</v>
      </c>
      <c r="E303" s="26" t="s">
        <v>718</v>
      </c>
      <c r="F303" s="26" t="s">
        <v>609</v>
      </c>
      <c r="G303" s="26" t="s">
        <v>766</v>
      </c>
    </row>
    <row r="304" spans="1:7" x14ac:dyDescent="0.3">
      <c r="A304" s="169"/>
      <c r="C304" s="26" t="str">
        <f t="shared" si="10"/>
        <v xml:space="preserve">Entrez la description du local ici. Les locaux d'utilisation secondaire ne doivent pas être saisis.
</v>
      </c>
      <c r="D304" s="26" t="s">
        <v>507</v>
      </c>
      <c r="E304" s="26" t="s">
        <v>719</v>
      </c>
      <c r="F304" s="26" t="s">
        <v>610</v>
      </c>
      <c r="G304" s="26" t="s">
        <v>768</v>
      </c>
    </row>
    <row r="305" spans="1:7" x14ac:dyDescent="0.3">
      <c r="A305" s="169"/>
      <c r="C305" s="26" t="str">
        <f t="shared" si="10"/>
        <v>Erreur</v>
      </c>
      <c r="D305" s="26" t="s">
        <v>531</v>
      </c>
      <c r="E305" s="26" t="s">
        <v>691</v>
      </c>
      <c r="F305" s="26" t="s">
        <v>582</v>
      </c>
      <c r="G305" s="26" t="s">
        <v>664</v>
      </c>
    </row>
    <row r="306" spans="1:7" x14ac:dyDescent="0.3">
      <c r="A306" s="169"/>
      <c r="C306" s="26" t="str">
        <f t="shared" si="10"/>
        <v>Veuillez saisir uniquement du texte dans cette cellule.</v>
      </c>
      <c r="D306" s="26" t="s">
        <v>532</v>
      </c>
      <c r="E306" s="26" t="s">
        <v>720</v>
      </c>
      <c r="F306" s="26" t="s">
        <v>611</v>
      </c>
      <c r="G306" s="26" t="s">
        <v>756</v>
      </c>
    </row>
    <row r="307" spans="1:7" x14ac:dyDescent="0.3">
      <c r="A307" s="169">
        <v>3</v>
      </c>
      <c r="B307" s="26" t="s">
        <v>519</v>
      </c>
      <c r="C307" s="26" t="str">
        <f t="shared" si="10"/>
        <v>Utilisation principale</v>
      </c>
      <c r="D307" s="26" t="s">
        <v>61</v>
      </c>
      <c r="E307" s="26" t="s">
        <v>721</v>
      </c>
      <c r="F307" s="26" t="s">
        <v>612</v>
      </c>
      <c r="G307" s="26" t="s">
        <v>757</v>
      </c>
    </row>
    <row r="308" spans="1:7" x14ac:dyDescent="0.3">
      <c r="A308" s="169"/>
      <c r="C308" s="26" t="str">
        <f t="shared" si="10"/>
        <v>Sélectionnez un élément de la liste qui correspond le mieux à l'utilisation du local. Les locaux d'utilisation secondaire ne doivent pas être saisis.</v>
      </c>
      <c r="D308" s="26" t="s">
        <v>506</v>
      </c>
      <c r="E308" s="26" t="s">
        <v>722</v>
      </c>
      <c r="F308" s="26" t="s">
        <v>613</v>
      </c>
      <c r="G308" s="26" t="s">
        <v>758</v>
      </c>
    </row>
    <row r="309" spans="1:7" x14ac:dyDescent="0.3">
      <c r="A309" s="169"/>
      <c r="C309" s="26" t="str">
        <f t="shared" si="10"/>
        <v>Erreur</v>
      </c>
      <c r="D309" s="26" t="s">
        <v>531</v>
      </c>
      <c r="E309" s="26" t="s">
        <v>691</v>
      </c>
      <c r="F309" s="26" t="s">
        <v>582</v>
      </c>
      <c r="G309" s="26" t="s">
        <v>664</v>
      </c>
    </row>
    <row r="310" spans="1:7" x14ac:dyDescent="0.3">
      <c r="A310" s="169"/>
      <c r="C310" s="26" t="str">
        <f t="shared" si="10"/>
        <v>Vous devez sélectionner un élément de la liste.</v>
      </c>
      <c r="D310" s="26" t="s">
        <v>43</v>
      </c>
      <c r="E310" s="26" t="s">
        <v>711</v>
      </c>
      <c r="F310" s="26" t="s">
        <v>602</v>
      </c>
      <c r="G310" s="26" t="s">
        <v>759</v>
      </c>
    </row>
    <row r="311" spans="1:7" x14ac:dyDescent="0.3">
      <c r="A311" s="169">
        <v>3</v>
      </c>
      <c r="B311" s="26" t="s">
        <v>520</v>
      </c>
      <c r="C311" s="26" t="str">
        <f t="shared" si="10"/>
        <v>Longueur</v>
      </c>
      <c r="D311" s="26" t="s">
        <v>508</v>
      </c>
      <c r="E311" s="26" t="s">
        <v>723</v>
      </c>
      <c r="F311" s="26" t="s">
        <v>586</v>
      </c>
      <c r="G311" s="26" t="s">
        <v>754</v>
      </c>
    </row>
    <row r="312" spans="1:7" x14ac:dyDescent="0.3">
      <c r="A312" s="169"/>
      <c r="C312" s="26" t="str">
        <f t="shared" si="10"/>
        <v>Entrez les dimensions du local.</v>
      </c>
      <c r="D312" s="26" t="s">
        <v>509</v>
      </c>
      <c r="E312" s="26" t="s">
        <v>724</v>
      </c>
      <c r="F312" s="26" t="s">
        <v>614</v>
      </c>
      <c r="G312" s="26" t="s">
        <v>755</v>
      </c>
    </row>
    <row r="313" spans="1:7" x14ac:dyDescent="0.3">
      <c r="A313" s="169"/>
      <c r="C313" s="26" t="str">
        <f t="shared" si="10"/>
        <v>Erreur</v>
      </c>
      <c r="D313" s="26" t="s">
        <v>531</v>
      </c>
      <c r="E313" s="26" t="s">
        <v>691</v>
      </c>
      <c r="F313" s="26" t="s">
        <v>582</v>
      </c>
      <c r="G313" s="26" t="s">
        <v>664</v>
      </c>
    </row>
    <row r="314" spans="1:7" x14ac:dyDescent="0.3">
      <c r="A314" s="169"/>
      <c r="C314" s="26" t="str">
        <f t="shared" si="10"/>
        <v>Vous devez saisir des valeurs entre 0 et 999.</v>
      </c>
      <c r="D314" s="26" t="s">
        <v>559</v>
      </c>
      <c r="E314" s="26" t="s">
        <v>697</v>
      </c>
      <c r="F314" s="26" t="s">
        <v>752</v>
      </c>
      <c r="G314" s="26" t="s">
        <v>669</v>
      </c>
    </row>
    <row r="315" spans="1:7" x14ac:dyDescent="0.3">
      <c r="A315" s="169">
        <v>3</v>
      </c>
      <c r="B315" s="26" t="s">
        <v>521</v>
      </c>
      <c r="C315" s="26" t="str">
        <f t="shared" si="10"/>
        <v>Profondeur</v>
      </c>
      <c r="D315" s="26" t="s">
        <v>510</v>
      </c>
      <c r="E315" s="26" t="s">
        <v>726</v>
      </c>
      <c r="F315" s="26" t="s">
        <v>615</v>
      </c>
      <c r="G315" s="26" t="s">
        <v>765</v>
      </c>
    </row>
    <row r="316" spans="1:7" x14ac:dyDescent="0.3">
      <c r="A316" s="169"/>
      <c r="C316" s="26" t="str">
        <f t="shared" si="10"/>
        <v>Entrez les dimensions du local.</v>
      </c>
      <c r="D316" s="26" t="s">
        <v>509</v>
      </c>
      <c r="E316" s="26" t="s">
        <v>724</v>
      </c>
      <c r="F316" s="26" t="s">
        <v>614</v>
      </c>
      <c r="G316" s="26" t="s">
        <v>755</v>
      </c>
    </row>
    <row r="317" spans="1:7" x14ac:dyDescent="0.3">
      <c r="A317" s="169"/>
      <c r="C317" s="26" t="str">
        <f t="shared" si="10"/>
        <v>Erreur</v>
      </c>
      <c r="D317" s="26" t="s">
        <v>531</v>
      </c>
      <c r="E317" s="26" t="s">
        <v>691</v>
      </c>
      <c r="F317" s="26" t="s">
        <v>582</v>
      </c>
      <c r="G317" s="26" t="s">
        <v>664</v>
      </c>
    </row>
    <row r="318" spans="1:7" x14ac:dyDescent="0.3">
      <c r="A318" s="169"/>
      <c r="C318" s="26" t="str">
        <f t="shared" si="10"/>
        <v>Vous devez saisir des valeurs entre 0 et 999.</v>
      </c>
      <c r="D318" s="26" t="s">
        <v>559</v>
      </c>
      <c r="E318" s="26" t="s">
        <v>697</v>
      </c>
      <c r="F318" s="26" t="s">
        <v>752</v>
      </c>
      <c r="G318" s="26" t="s">
        <v>669</v>
      </c>
    </row>
    <row r="319" spans="1:7" x14ac:dyDescent="0.3">
      <c r="A319" s="169">
        <v>3</v>
      </c>
      <c r="B319" s="26" t="s">
        <v>522</v>
      </c>
      <c r="C319" s="26" t="str">
        <f t="shared" ref="C319:C350" si="11">INDEX($D319:$G319,1,MATCH(Sprachwahl,ListSprache,0))</f>
        <v>Hauteur</v>
      </c>
      <c r="D319" s="26" t="s">
        <v>68</v>
      </c>
      <c r="E319" s="26" t="s">
        <v>698</v>
      </c>
      <c r="F319" s="26" t="s">
        <v>589</v>
      </c>
      <c r="G319" s="26" t="s">
        <v>674</v>
      </c>
    </row>
    <row r="320" spans="1:7" x14ac:dyDescent="0.3">
      <c r="A320" s="169"/>
      <c r="C320" s="26" t="str">
        <f t="shared" si="11"/>
        <v>Entrez la hauteur libre. Si le local a plusieurs hauteurs, faites la moyenne des hauteurs ou saisissez des zones séparément.</v>
      </c>
      <c r="D320" s="26" t="s">
        <v>511</v>
      </c>
      <c r="E320" s="26" t="s">
        <v>727</v>
      </c>
      <c r="F320" s="26" t="s">
        <v>616</v>
      </c>
    </row>
    <row r="321" spans="1:7" x14ac:dyDescent="0.3">
      <c r="A321" s="169"/>
      <c r="C321" s="26" t="str">
        <f t="shared" si="11"/>
        <v>Erreur</v>
      </c>
      <c r="D321" s="26" t="s">
        <v>531</v>
      </c>
      <c r="E321" s="26" t="s">
        <v>691</v>
      </c>
      <c r="F321" s="26" t="s">
        <v>582</v>
      </c>
      <c r="G321" s="26" t="s">
        <v>664</v>
      </c>
    </row>
    <row r="322" spans="1:7" x14ac:dyDescent="0.3">
      <c r="A322" s="169"/>
      <c r="C322" s="26" t="str">
        <f t="shared" si="11"/>
        <v>Vous devez saisir des valeurs entre 0 et 99.</v>
      </c>
      <c r="D322" s="26" t="s">
        <v>561</v>
      </c>
      <c r="E322" s="26" t="s">
        <v>706</v>
      </c>
      <c r="F322" s="26" t="s">
        <v>753</v>
      </c>
      <c r="G322" s="26" t="s">
        <v>670</v>
      </c>
    </row>
    <row r="323" spans="1:7" x14ac:dyDescent="0.3">
      <c r="A323" s="169">
        <v>3</v>
      </c>
      <c r="B323" s="26" t="s">
        <v>523</v>
      </c>
      <c r="C323" s="26" t="str">
        <f t="shared" si="11"/>
        <v>Surface</v>
      </c>
      <c r="D323" s="26" t="s">
        <v>482</v>
      </c>
      <c r="E323" s="26" t="s">
        <v>728</v>
      </c>
      <c r="F323" s="26" t="s">
        <v>617</v>
      </c>
      <c r="G323" s="26" t="s">
        <v>764</v>
      </c>
    </row>
    <row r="324" spans="1:7" x14ac:dyDescent="0.3">
      <c r="A324" s="169"/>
      <c r="C324" s="26" t="str">
        <f t="shared" si="11"/>
        <v>Si la surface ne correspond pas à la multiplication de la longueur et de la largeur, saisissez-la ici, sinon laisser vide.</v>
      </c>
      <c r="D324" s="26" t="s">
        <v>512</v>
      </c>
      <c r="E324" s="26" t="s">
        <v>729</v>
      </c>
      <c r="F324" s="26" t="s">
        <v>618</v>
      </c>
    </row>
    <row r="325" spans="1:7" x14ac:dyDescent="0.3">
      <c r="A325" s="169"/>
      <c r="C325" s="26" t="str">
        <f t="shared" si="11"/>
        <v>Erreur</v>
      </c>
      <c r="D325" s="26" t="s">
        <v>531</v>
      </c>
      <c r="E325" s="26" t="s">
        <v>691</v>
      </c>
      <c r="F325" s="26" t="s">
        <v>582</v>
      </c>
      <c r="G325" s="26" t="s">
        <v>664</v>
      </c>
    </row>
    <row r="326" spans="1:7" x14ac:dyDescent="0.3">
      <c r="A326" s="169"/>
      <c r="C326" s="26" t="str">
        <f t="shared" si="11"/>
        <v>Vous devez saisir des valeurs entre 0 et 9999.</v>
      </c>
      <c r="D326" s="26" t="s">
        <v>533</v>
      </c>
      <c r="E326" s="26" t="s">
        <v>725</v>
      </c>
      <c r="F326" s="26" t="s">
        <v>588</v>
      </c>
      <c r="G326" s="26" t="s">
        <v>769</v>
      </c>
    </row>
    <row r="327" spans="1:7" x14ac:dyDescent="0.3">
      <c r="A327" s="169">
        <v>3</v>
      </c>
      <c r="B327" s="26" t="s">
        <v>524</v>
      </c>
      <c r="C327" s="26" t="str">
        <f t="shared" si="11"/>
        <v>Nombre</v>
      </c>
      <c r="D327" s="26" t="s">
        <v>63</v>
      </c>
      <c r="E327" s="26" t="s">
        <v>730</v>
      </c>
      <c r="F327" s="26" t="s">
        <v>619</v>
      </c>
      <c r="G327" s="26" t="s">
        <v>763</v>
      </c>
    </row>
    <row r="328" spans="1:7" x14ac:dyDescent="0.3">
      <c r="A328" s="169"/>
      <c r="C328" s="26" t="str">
        <f t="shared" si="11"/>
        <v>Entrez les nombre de locaux de ce type.</v>
      </c>
      <c r="D328" s="26" t="s">
        <v>513</v>
      </c>
      <c r="E328" s="26" t="s">
        <v>731</v>
      </c>
      <c r="F328" s="26" t="s">
        <v>620</v>
      </c>
      <c r="G328" s="26" t="s">
        <v>770</v>
      </c>
    </row>
    <row r="329" spans="1:7" x14ac:dyDescent="0.3">
      <c r="A329" s="169"/>
      <c r="C329" s="26" t="str">
        <f t="shared" si="11"/>
        <v>Erreur</v>
      </c>
      <c r="D329" s="26" t="s">
        <v>531</v>
      </c>
      <c r="E329" s="26" t="s">
        <v>691</v>
      </c>
      <c r="F329" s="26" t="s">
        <v>582</v>
      </c>
      <c r="G329" s="26" t="s">
        <v>664</v>
      </c>
    </row>
    <row r="330" spans="1:7" x14ac:dyDescent="0.3">
      <c r="A330" s="169"/>
      <c r="C330" s="26" t="str">
        <f t="shared" si="11"/>
        <v>Vous devez saisir des valeurs entre -99 et 999.</v>
      </c>
      <c r="D330" s="26" t="s">
        <v>772</v>
      </c>
      <c r="E330" s="26" t="s">
        <v>773</v>
      </c>
      <c r="F330" s="26" t="s">
        <v>774</v>
      </c>
      <c r="G330" s="26" t="s">
        <v>771</v>
      </c>
    </row>
    <row r="331" spans="1:7" x14ac:dyDescent="0.3">
      <c r="A331" s="169">
        <v>3</v>
      </c>
      <c r="B331" s="26" t="s">
        <v>525</v>
      </c>
      <c r="C331" s="26" t="str">
        <f t="shared" si="11"/>
        <v>Réflexion du local</v>
      </c>
      <c r="D331" s="26" t="s">
        <v>113</v>
      </c>
      <c r="E331" s="26" t="s">
        <v>733</v>
      </c>
      <c r="F331" s="26" t="s">
        <v>622</v>
      </c>
      <c r="G331" s="26" t="s">
        <v>762</v>
      </c>
    </row>
    <row r="332" spans="1:7" x14ac:dyDescent="0.3">
      <c r="A332" s="169"/>
      <c r="C332" s="26" t="str">
        <f t="shared" si="11"/>
        <v>Sélectionnez un élément de la liste.</v>
      </c>
      <c r="D332" s="26" t="s">
        <v>514</v>
      </c>
      <c r="E332" s="26" t="s">
        <v>734</v>
      </c>
      <c r="F332" s="26" t="s">
        <v>623</v>
      </c>
      <c r="G332" s="26" t="s">
        <v>758</v>
      </c>
    </row>
    <row r="333" spans="1:7" x14ac:dyDescent="0.3">
      <c r="A333" s="169"/>
      <c r="C333" s="26" t="str">
        <f t="shared" si="11"/>
        <v>Erreur</v>
      </c>
      <c r="D333" s="26" t="s">
        <v>531</v>
      </c>
      <c r="E333" s="26" t="s">
        <v>691</v>
      </c>
      <c r="F333" s="26" t="s">
        <v>582</v>
      </c>
      <c r="G333" s="26" t="s">
        <v>664</v>
      </c>
    </row>
    <row r="334" spans="1:7" x14ac:dyDescent="0.3">
      <c r="A334" s="169"/>
      <c r="C334" s="26" t="str">
        <f t="shared" si="11"/>
        <v>Vous devez sélectionner un élément de la liste.</v>
      </c>
      <c r="D334" s="26" t="s">
        <v>43</v>
      </c>
      <c r="E334" s="26" t="s">
        <v>711</v>
      </c>
      <c r="F334" s="26" t="s">
        <v>602</v>
      </c>
      <c r="G334" s="26" t="s">
        <v>759</v>
      </c>
    </row>
    <row r="335" spans="1:7" x14ac:dyDescent="0.3">
      <c r="A335" s="169">
        <v>3</v>
      </c>
      <c r="B335" s="26" t="s">
        <v>526</v>
      </c>
      <c r="C335" s="26" t="str">
        <f t="shared" si="11"/>
        <v>Type de fenêtre</v>
      </c>
      <c r="D335" s="26" t="s">
        <v>515</v>
      </c>
      <c r="E335" s="26" t="s">
        <v>735</v>
      </c>
      <c r="F335" s="26" t="s">
        <v>624</v>
      </c>
      <c r="G335" s="26" t="s">
        <v>760</v>
      </c>
    </row>
    <row r="336" spans="1:7" x14ac:dyDescent="0.3">
      <c r="A336" s="169"/>
      <c r="C336" s="26" t="str">
        <f t="shared" si="11"/>
        <v>Choisissez un des type de fenêtres saisi dans la feuille 'Fenster'.</v>
      </c>
      <c r="D336" s="26" t="str">
        <f>"Wählen Sie einen der im Blatt '"&amp;Texte!$C$247&amp;"' erfassten Fenstertypen."</f>
        <v>Wählen Sie einen der im Blatt 'Fenster' erfassten Fenstertypen.</v>
      </c>
      <c r="E336" s="26" t="s">
        <v>736</v>
      </c>
      <c r="F336" s="26" t="s">
        <v>625</v>
      </c>
      <c r="G336" s="26" t="s">
        <v>761</v>
      </c>
    </row>
    <row r="337" spans="1:7" x14ac:dyDescent="0.3">
      <c r="A337" s="169"/>
      <c r="C337" s="26" t="str">
        <f t="shared" si="11"/>
        <v>Erreur</v>
      </c>
      <c r="D337" s="26" t="s">
        <v>531</v>
      </c>
      <c r="E337" s="26" t="s">
        <v>691</v>
      </c>
      <c r="F337" s="26" t="s">
        <v>582</v>
      </c>
      <c r="G337" s="26" t="s">
        <v>664</v>
      </c>
    </row>
    <row r="338" spans="1:7" x14ac:dyDescent="0.3">
      <c r="A338" s="169"/>
      <c r="C338" s="26" t="str">
        <f t="shared" si="11"/>
        <v>Vous devez sélectionner un élément de la liste.</v>
      </c>
      <c r="D338" s="26" t="s">
        <v>43</v>
      </c>
      <c r="E338" s="26" t="s">
        <v>711</v>
      </c>
      <c r="F338" s="26" t="s">
        <v>602</v>
      </c>
      <c r="G338" s="26" t="s">
        <v>759</v>
      </c>
    </row>
    <row r="339" spans="1:7" x14ac:dyDescent="0.3">
      <c r="A339" s="169">
        <v>3</v>
      </c>
      <c r="B339" s="26" t="s">
        <v>527</v>
      </c>
      <c r="C339" s="26" t="str">
        <f t="shared" si="11"/>
        <v>Nombre</v>
      </c>
      <c r="D339" s="26" t="s">
        <v>63</v>
      </c>
      <c r="E339" s="26" t="s">
        <v>730</v>
      </c>
      <c r="F339" s="26" t="s">
        <v>619</v>
      </c>
      <c r="G339" s="26" t="s">
        <v>763</v>
      </c>
    </row>
    <row r="340" spans="1:7" x14ac:dyDescent="0.3">
      <c r="A340" s="169"/>
      <c r="C340" s="26" t="str">
        <f t="shared" si="11"/>
        <v>Entrez le nombre de fenêtres de ce type.</v>
      </c>
      <c r="D340" s="26" t="s">
        <v>535</v>
      </c>
      <c r="E340" s="26" t="s">
        <v>737</v>
      </c>
      <c r="F340" s="26" t="s">
        <v>626</v>
      </c>
      <c r="G340" s="26" t="s">
        <v>775</v>
      </c>
    </row>
    <row r="341" spans="1:7" x14ac:dyDescent="0.3">
      <c r="A341" s="169"/>
      <c r="C341" s="26" t="str">
        <f t="shared" si="11"/>
        <v>Erreur</v>
      </c>
      <c r="D341" s="26" t="s">
        <v>531</v>
      </c>
      <c r="E341" s="26" t="s">
        <v>691</v>
      </c>
      <c r="F341" s="26" t="s">
        <v>582</v>
      </c>
      <c r="G341" s="26" t="s">
        <v>664</v>
      </c>
    </row>
    <row r="342" spans="1:7" x14ac:dyDescent="0.3">
      <c r="A342" s="169"/>
      <c r="C342" s="26" t="str">
        <f t="shared" si="11"/>
        <v>Vous devez saisir des valeurs entières entre 0 et 999.</v>
      </c>
      <c r="D342" s="26" t="s">
        <v>534</v>
      </c>
      <c r="E342" s="26" t="s">
        <v>732</v>
      </c>
      <c r="F342" s="26" t="s">
        <v>621</v>
      </c>
      <c r="G342" s="26" t="s">
        <v>669</v>
      </c>
    </row>
    <row r="343" spans="1:7" x14ac:dyDescent="0.3">
      <c r="A343" s="169">
        <v>3</v>
      </c>
      <c r="B343" s="26" t="s">
        <v>528</v>
      </c>
      <c r="C343" s="26" t="str">
        <f t="shared" si="11"/>
        <v>Type de fenêtre</v>
      </c>
      <c r="D343" s="26" t="s">
        <v>515</v>
      </c>
      <c r="E343" s="26" t="s">
        <v>735</v>
      </c>
      <c r="F343" s="26" t="s">
        <v>624</v>
      </c>
      <c r="G343" s="26" t="s">
        <v>760</v>
      </c>
    </row>
    <row r="344" spans="1:7" x14ac:dyDescent="0.3">
      <c r="A344" s="169"/>
      <c r="C344" s="26" t="str">
        <f t="shared" si="11"/>
        <v>Choisissez un des type de fenêtres saisi dans la feuille 'Fenster'.</v>
      </c>
      <c r="D344" s="26" t="str">
        <f>"Wählen Sie einen der im Blatt '"&amp;Texte!$C$247&amp;"' erfassten Fenstertypen."</f>
        <v>Wählen Sie einen der im Blatt 'Fenster' erfassten Fenstertypen.</v>
      </c>
      <c r="E344" s="26" t="s">
        <v>736</v>
      </c>
      <c r="F344" s="26" t="s">
        <v>625</v>
      </c>
      <c r="G344" s="26" t="s">
        <v>761</v>
      </c>
    </row>
    <row r="345" spans="1:7" x14ac:dyDescent="0.3">
      <c r="A345" s="169"/>
      <c r="C345" s="26" t="str">
        <f t="shared" si="11"/>
        <v>Erreur</v>
      </c>
      <c r="D345" s="26" t="s">
        <v>531</v>
      </c>
      <c r="E345" s="26" t="s">
        <v>691</v>
      </c>
      <c r="F345" s="26" t="s">
        <v>582</v>
      </c>
      <c r="G345" s="26" t="s">
        <v>664</v>
      </c>
    </row>
    <row r="346" spans="1:7" x14ac:dyDescent="0.3">
      <c r="A346" s="169"/>
      <c r="C346" s="26" t="str">
        <f t="shared" si="11"/>
        <v>Vous devez sélectionner un élément de la liste.</v>
      </c>
      <c r="D346" s="26" t="s">
        <v>43</v>
      </c>
      <c r="E346" s="26" t="s">
        <v>711</v>
      </c>
      <c r="F346" s="26" t="s">
        <v>602</v>
      </c>
      <c r="G346" s="26" t="s">
        <v>759</v>
      </c>
    </row>
    <row r="347" spans="1:7" x14ac:dyDescent="0.3">
      <c r="A347" s="169">
        <v>3</v>
      </c>
      <c r="B347" s="26" t="s">
        <v>529</v>
      </c>
      <c r="C347" s="26" t="str">
        <f t="shared" si="11"/>
        <v>Nombre</v>
      </c>
      <c r="D347" s="26" t="s">
        <v>63</v>
      </c>
      <c r="E347" s="26" t="s">
        <v>730</v>
      </c>
      <c r="F347" s="26" t="s">
        <v>619</v>
      </c>
      <c r="G347" s="26" t="s">
        <v>763</v>
      </c>
    </row>
    <row r="348" spans="1:7" x14ac:dyDescent="0.3">
      <c r="A348" s="169"/>
      <c r="C348" s="26" t="str">
        <f t="shared" si="11"/>
        <v>Entrez le nombre de fenêtres de ce type.</v>
      </c>
      <c r="D348" s="26" t="s">
        <v>535</v>
      </c>
      <c r="E348" s="26" t="s">
        <v>737</v>
      </c>
      <c r="F348" s="26" t="s">
        <v>626</v>
      </c>
      <c r="G348" s="26" t="s">
        <v>775</v>
      </c>
    </row>
    <row r="349" spans="1:7" x14ac:dyDescent="0.3">
      <c r="A349" s="169"/>
      <c r="C349" s="26" t="str">
        <f t="shared" si="11"/>
        <v>Erreur</v>
      </c>
      <c r="D349" s="26" t="s">
        <v>531</v>
      </c>
      <c r="E349" s="26" t="s">
        <v>691</v>
      </c>
      <c r="F349" s="26" t="s">
        <v>582</v>
      </c>
      <c r="G349" s="26" t="s">
        <v>664</v>
      </c>
    </row>
    <row r="350" spans="1:7" x14ac:dyDescent="0.3">
      <c r="A350" s="169"/>
      <c r="C350" s="26" t="str">
        <f t="shared" si="11"/>
        <v>Vous devez saisir des valeurs entières entre 0 et 999.</v>
      </c>
      <c r="D350" s="26" t="s">
        <v>534</v>
      </c>
      <c r="E350" s="26" t="s">
        <v>732</v>
      </c>
      <c r="F350" s="26" t="s">
        <v>621</v>
      </c>
      <c r="G350" s="26" t="s">
        <v>669</v>
      </c>
    </row>
    <row r="351" spans="1:7" x14ac:dyDescent="0.3">
      <c r="A351" s="169">
        <v>3</v>
      </c>
      <c r="B351" s="26" t="s">
        <v>536</v>
      </c>
      <c r="C351" s="26" t="str">
        <f t="shared" ref="C351:C378" si="12">INDEX($D351:$G351,1,MATCH(Sprachwahl,ListSprache,0))</f>
        <v>Type de fenêtre</v>
      </c>
      <c r="D351" s="26" t="s">
        <v>515</v>
      </c>
      <c r="E351" s="26" t="s">
        <v>735</v>
      </c>
      <c r="F351" s="26" t="s">
        <v>624</v>
      </c>
      <c r="G351" s="26" t="s">
        <v>760</v>
      </c>
    </row>
    <row r="352" spans="1:7" x14ac:dyDescent="0.3">
      <c r="A352" s="169"/>
      <c r="C352" s="26" t="str">
        <f t="shared" si="12"/>
        <v>Choisissez un des type de fenêtres saisi dans la feuille 'Fenster'.</v>
      </c>
      <c r="D352" s="26" t="str">
        <f>"Wählen Sie einen der im Blatt '"&amp;Texte!$C$247&amp;"' erfassten Fenstertypen."</f>
        <v>Wählen Sie einen der im Blatt 'Fenster' erfassten Fenstertypen.</v>
      </c>
      <c r="E352" s="26" t="s">
        <v>736</v>
      </c>
      <c r="F352" s="26" t="s">
        <v>625</v>
      </c>
      <c r="G352" s="26" t="s">
        <v>761</v>
      </c>
    </row>
    <row r="353" spans="1:7" x14ac:dyDescent="0.3">
      <c r="A353" s="169"/>
      <c r="C353" s="26" t="str">
        <f t="shared" si="12"/>
        <v>Erreur</v>
      </c>
      <c r="D353" s="26" t="s">
        <v>531</v>
      </c>
      <c r="E353" s="26" t="s">
        <v>691</v>
      </c>
      <c r="F353" s="26" t="s">
        <v>582</v>
      </c>
      <c r="G353" s="26" t="s">
        <v>664</v>
      </c>
    </row>
    <row r="354" spans="1:7" x14ac:dyDescent="0.3">
      <c r="A354" s="169"/>
      <c r="C354" s="26" t="str">
        <f t="shared" si="12"/>
        <v>Vous devez sélectionner un élément de la liste.</v>
      </c>
      <c r="D354" s="26" t="s">
        <v>43</v>
      </c>
      <c r="E354" s="26" t="s">
        <v>711</v>
      </c>
      <c r="F354" s="26" t="s">
        <v>602</v>
      </c>
      <c r="G354" s="26" t="s">
        <v>759</v>
      </c>
    </row>
    <row r="355" spans="1:7" x14ac:dyDescent="0.3">
      <c r="A355" s="169">
        <v>3</v>
      </c>
      <c r="B355" s="26" t="s">
        <v>537</v>
      </c>
      <c r="C355" s="26" t="str">
        <f t="shared" si="12"/>
        <v>Nombre</v>
      </c>
      <c r="D355" s="26" t="s">
        <v>63</v>
      </c>
      <c r="E355" s="26" t="s">
        <v>730</v>
      </c>
      <c r="F355" s="26" t="s">
        <v>619</v>
      </c>
      <c r="G355" s="26" t="s">
        <v>763</v>
      </c>
    </row>
    <row r="356" spans="1:7" x14ac:dyDescent="0.3">
      <c r="A356" s="169"/>
      <c r="C356" s="26" t="str">
        <f t="shared" si="12"/>
        <v>Entrez le nombre de fenêtres de ce type.</v>
      </c>
      <c r="D356" s="26" t="s">
        <v>535</v>
      </c>
      <c r="E356" s="26" t="s">
        <v>737</v>
      </c>
      <c r="F356" s="26" t="s">
        <v>626</v>
      </c>
      <c r="G356" s="26" t="s">
        <v>775</v>
      </c>
    </row>
    <row r="357" spans="1:7" x14ac:dyDescent="0.3">
      <c r="A357" s="169"/>
      <c r="C357" s="26" t="str">
        <f t="shared" si="12"/>
        <v>Erreur</v>
      </c>
      <c r="D357" s="26" t="s">
        <v>531</v>
      </c>
      <c r="E357" s="26" t="s">
        <v>691</v>
      </c>
      <c r="F357" s="26" t="s">
        <v>582</v>
      </c>
      <c r="G357" s="26" t="s">
        <v>664</v>
      </c>
    </row>
    <row r="358" spans="1:7" x14ac:dyDescent="0.3">
      <c r="A358" s="169"/>
      <c r="C358" s="26" t="str">
        <f t="shared" si="12"/>
        <v>Vous devez saisir des valeurs entières entre 0 et 999.</v>
      </c>
      <c r="D358" s="26" t="s">
        <v>534</v>
      </c>
      <c r="E358" s="26" t="s">
        <v>732</v>
      </c>
      <c r="F358" s="26" t="s">
        <v>621</v>
      </c>
      <c r="G358" s="26" t="s">
        <v>873</v>
      </c>
    </row>
    <row r="359" spans="1:7" x14ac:dyDescent="0.3">
      <c r="A359" s="169">
        <v>3</v>
      </c>
      <c r="B359" s="26" t="s">
        <v>538</v>
      </c>
      <c r="C359" s="26" t="str">
        <f t="shared" si="12"/>
        <v>Type de fenêtre</v>
      </c>
      <c r="D359" s="26" t="s">
        <v>515</v>
      </c>
      <c r="E359" s="26" t="s">
        <v>735</v>
      </c>
      <c r="F359" s="26" t="s">
        <v>624</v>
      </c>
      <c r="G359" s="26" t="s">
        <v>760</v>
      </c>
    </row>
    <row r="360" spans="1:7" x14ac:dyDescent="0.3">
      <c r="A360" s="169"/>
      <c r="C360" s="26" t="str">
        <f t="shared" si="12"/>
        <v>Choisissez un des type de fenêtres saisi dans la feuille 'Fenster'.</v>
      </c>
      <c r="D360" s="26" t="str">
        <f>"Wählen Sie einen der im Blatt '"&amp;Texte!$C$247&amp;"' erfassten Fenstertypen."</f>
        <v>Wählen Sie einen der im Blatt 'Fenster' erfassten Fenstertypen.</v>
      </c>
      <c r="E360" s="26" t="s">
        <v>736</v>
      </c>
      <c r="F360" s="26" t="s">
        <v>625</v>
      </c>
      <c r="G360" s="26" t="s">
        <v>761</v>
      </c>
    </row>
    <row r="361" spans="1:7" x14ac:dyDescent="0.3">
      <c r="A361" s="169"/>
      <c r="C361" s="26" t="str">
        <f t="shared" si="12"/>
        <v>Erreur</v>
      </c>
      <c r="D361" s="26" t="s">
        <v>531</v>
      </c>
      <c r="E361" s="26" t="s">
        <v>691</v>
      </c>
      <c r="F361" s="26" t="s">
        <v>582</v>
      </c>
      <c r="G361" s="26" t="s">
        <v>664</v>
      </c>
    </row>
    <row r="362" spans="1:7" x14ac:dyDescent="0.3">
      <c r="A362" s="169"/>
      <c r="C362" s="26" t="str">
        <f t="shared" si="12"/>
        <v>Vous devez sélectionner un élément de la liste.</v>
      </c>
      <c r="D362" s="26" t="s">
        <v>43</v>
      </c>
      <c r="E362" s="26" t="s">
        <v>711</v>
      </c>
      <c r="F362" s="26" t="s">
        <v>602</v>
      </c>
      <c r="G362" s="26" t="s">
        <v>759</v>
      </c>
    </row>
    <row r="363" spans="1:7" x14ac:dyDescent="0.3">
      <c r="A363" s="169">
        <v>3</v>
      </c>
      <c r="B363" s="26" t="s">
        <v>539</v>
      </c>
      <c r="C363" s="26" t="str">
        <f t="shared" si="12"/>
        <v>Nombre</v>
      </c>
      <c r="D363" s="26" t="s">
        <v>63</v>
      </c>
      <c r="E363" s="26" t="s">
        <v>730</v>
      </c>
      <c r="F363" s="26" t="s">
        <v>619</v>
      </c>
      <c r="G363" s="26" t="s">
        <v>763</v>
      </c>
    </row>
    <row r="364" spans="1:7" x14ac:dyDescent="0.3">
      <c r="A364" s="169"/>
      <c r="C364" s="26" t="str">
        <f t="shared" si="12"/>
        <v>Entrez le nombre de fenêtres de ce type.</v>
      </c>
      <c r="D364" s="26" t="s">
        <v>535</v>
      </c>
      <c r="E364" s="26" t="s">
        <v>737</v>
      </c>
      <c r="F364" s="26" t="s">
        <v>626</v>
      </c>
      <c r="G364" s="26" t="s">
        <v>775</v>
      </c>
    </row>
    <row r="365" spans="1:7" x14ac:dyDescent="0.3">
      <c r="A365" s="169"/>
      <c r="C365" s="26" t="str">
        <f t="shared" si="12"/>
        <v>Erreur</v>
      </c>
      <c r="D365" s="26" t="s">
        <v>531</v>
      </c>
      <c r="E365" s="26" t="s">
        <v>691</v>
      </c>
      <c r="F365" s="26" t="s">
        <v>582</v>
      </c>
      <c r="G365" s="26" t="s">
        <v>664</v>
      </c>
    </row>
    <row r="366" spans="1:7" x14ac:dyDescent="0.3">
      <c r="A366" s="169"/>
      <c r="C366" s="26" t="str">
        <f t="shared" si="12"/>
        <v>Vous devez saisir des valeurs entières entre 0 et 999.</v>
      </c>
      <c r="D366" s="26" t="s">
        <v>534</v>
      </c>
      <c r="E366" s="26" t="s">
        <v>732</v>
      </c>
      <c r="F366" s="26" t="s">
        <v>621</v>
      </c>
      <c r="G366" s="26" t="s">
        <v>669</v>
      </c>
    </row>
    <row r="367" spans="1:7" x14ac:dyDescent="0.3">
      <c r="A367" s="210">
        <v>4</v>
      </c>
      <c r="B367" s="26" t="s">
        <v>519</v>
      </c>
      <c r="C367" s="26" t="str">
        <f t="shared" si="12"/>
        <v>Profond. de la surface utilisée</v>
      </c>
      <c r="D367" s="26" t="s">
        <v>862</v>
      </c>
      <c r="E367" s="26" t="s">
        <v>904</v>
      </c>
      <c r="F367" s="26" t="s">
        <v>830</v>
      </c>
      <c r="G367" s="26" t="s">
        <v>832</v>
      </c>
    </row>
    <row r="368" spans="1:7" x14ac:dyDescent="0.3">
      <c r="A368" s="210"/>
      <c r="C368" s="26" t="str">
        <f t="shared" si="12"/>
        <v>Entrez la profondeur des zones utilisées en permanence par les personnes (mesurée à partir de la façade).</v>
      </c>
      <c r="D368" s="26" t="s">
        <v>863</v>
      </c>
      <c r="E368" s="26" t="s">
        <v>875</v>
      </c>
      <c r="F368" s="26" t="s">
        <v>874</v>
      </c>
      <c r="G368" s="26" t="s">
        <v>876</v>
      </c>
    </row>
    <row r="369" spans="1:7" x14ac:dyDescent="0.3">
      <c r="A369" s="210"/>
      <c r="C369" s="26" t="str">
        <f t="shared" si="12"/>
        <v>Erreur</v>
      </c>
      <c r="D369" s="26" t="s">
        <v>531</v>
      </c>
      <c r="E369" s="26" t="s">
        <v>691</v>
      </c>
      <c r="F369" s="26" t="s">
        <v>582</v>
      </c>
      <c r="G369" s="26" t="s">
        <v>664</v>
      </c>
    </row>
    <row r="370" spans="1:7" x14ac:dyDescent="0.3">
      <c r="A370" s="210"/>
      <c r="C370" s="26" t="str">
        <f t="shared" si="12"/>
        <v>Vous devez saisir des valeurs entre 0 et 999.</v>
      </c>
      <c r="D370" s="26" t="s">
        <v>559</v>
      </c>
      <c r="E370" s="26" t="s">
        <v>697</v>
      </c>
      <c r="F370" s="26" t="s">
        <v>752</v>
      </c>
      <c r="G370" s="26" t="s">
        <v>669</v>
      </c>
    </row>
    <row r="371" spans="1:7" x14ac:dyDescent="0.3">
      <c r="A371" s="210">
        <v>4</v>
      </c>
      <c r="B371" s="26" t="s">
        <v>520</v>
      </c>
      <c r="C371" s="26" t="str">
        <f t="shared" si="12"/>
        <v>Profondeur de la vue</v>
      </c>
      <c r="D371" s="26" t="s">
        <v>864</v>
      </c>
      <c r="E371" s="217" t="s">
        <v>989</v>
      </c>
      <c r="F371" s="26" t="s">
        <v>835</v>
      </c>
      <c r="G371" s="26" t="s">
        <v>834</v>
      </c>
    </row>
    <row r="372" spans="1:7" x14ac:dyDescent="0.3">
      <c r="A372" s="210"/>
      <c r="C372" s="26" t="str">
        <f t="shared" si="12"/>
        <v>Saisissez la distance jusqu'à l'objet le plus proche (mesurée à partir de la façade).</v>
      </c>
      <c r="D372" s="26" t="s">
        <v>865</v>
      </c>
      <c r="E372" s="217" t="s">
        <v>990</v>
      </c>
      <c r="F372" s="26" t="s">
        <v>872</v>
      </c>
      <c r="G372" s="26" t="s">
        <v>871</v>
      </c>
    </row>
    <row r="373" spans="1:7" x14ac:dyDescent="0.3">
      <c r="A373" s="210"/>
      <c r="C373" s="26" t="str">
        <f t="shared" si="12"/>
        <v>Erreur</v>
      </c>
      <c r="D373" s="26" t="s">
        <v>531</v>
      </c>
      <c r="E373" s="26" t="s">
        <v>691</v>
      </c>
      <c r="F373" s="26" t="s">
        <v>582</v>
      </c>
      <c r="G373" s="26" t="s">
        <v>664</v>
      </c>
    </row>
    <row r="374" spans="1:7" x14ac:dyDescent="0.3">
      <c r="A374" s="210"/>
      <c r="C374" s="26" t="str">
        <f t="shared" si="12"/>
        <v>Vous devez saisir des valeurs entières entre 0 et 999.</v>
      </c>
      <c r="D374" s="26" t="s">
        <v>866</v>
      </c>
      <c r="E374" s="26" t="s">
        <v>732</v>
      </c>
      <c r="F374" s="26" t="s">
        <v>621</v>
      </c>
      <c r="G374" s="26" t="s">
        <v>873</v>
      </c>
    </row>
    <row r="375" spans="1:7" x14ac:dyDescent="0.3">
      <c r="A375" s="210">
        <v>4</v>
      </c>
      <c r="B375" s="26" t="s">
        <v>521</v>
      </c>
      <c r="C375" s="26" t="str">
        <f t="shared" si="12"/>
        <v>Niveaux de vision</v>
      </c>
      <c r="D375" s="26" t="s">
        <v>790</v>
      </c>
      <c r="E375" s="26" t="s">
        <v>868</v>
      </c>
      <c r="F375" s="26" t="s">
        <v>869</v>
      </c>
      <c r="G375" s="26" t="s">
        <v>870</v>
      </c>
    </row>
    <row r="376" spans="1:7" x14ac:dyDescent="0.3">
      <c r="A376" s="210"/>
      <c r="C376" s="26" t="str">
        <f t="shared" si="12"/>
        <v>Sélectionnez les niveaux visibles du point le plus éloigné à une hauteur de 1,2 mètre (activité assise) ou de 1,7 mètre (activité debout) lorsque vous regardez par la fenêtre.</v>
      </c>
      <c r="D376" s="26" t="s">
        <v>867</v>
      </c>
      <c r="E376" s="26" t="s">
        <v>879</v>
      </c>
      <c r="F376" s="26" t="s">
        <v>878</v>
      </c>
      <c r="G376" s="26" t="s">
        <v>877</v>
      </c>
    </row>
    <row r="377" spans="1:7" x14ac:dyDescent="0.3">
      <c r="A377" s="210"/>
      <c r="C377" s="26" t="str">
        <f t="shared" si="12"/>
        <v>Erreur</v>
      </c>
      <c r="D377" s="26" t="s">
        <v>531</v>
      </c>
      <c r="E377" s="26" t="s">
        <v>691</v>
      </c>
      <c r="F377" s="26" t="s">
        <v>582</v>
      </c>
      <c r="G377" s="26" t="s">
        <v>664</v>
      </c>
    </row>
    <row r="378" spans="1:7" x14ac:dyDescent="0.3">
      <c r="A378" s="210"/>
      <c r="C378" s="26" t="str">
        <f t="shared" si="12"/>
        <v>Vous devez sélectionner un élément de la liste.</v>
      </c>
      <c r="D378" s="26" t="s">
        <v>43</v>
      </c>
      <c r="E378" s="26" t="s">
        <v>711</v>
      </c>
      <c r="F378" s="26" t="s">
        <v>602</v>
      </c>
      <c r="G378" s="26" t="s">
        <v>759</v>
      </c>
    </row>
  </sheetData>
  <sheetProtection algorithmName="SHA-512" hashValue="vq6pdCYU6VQIhlkVhp6/0Nk1f3q5/Mt5p1+pazsdvROnMBWNSKiIsLFFfhIvZ/0JTqJoIciFp77TBmmqw7pvBQ==" saltValue="B2IeNuXGVSfR9bwnx72Nuw==" spinCount="100000" sheet="1" objects="1" scenarios="1"/>
  <hyperlinks>
    <hyperlink ref="F232" r:id="rId1" display="https://www.linguee.de/deutsch-englisch/uebersetzung/Restaurants.html" xr:uid="{1583C7CA-8D89-4663-B1CF-77F0521F2EED}"/>
  </hyperlinks>
  <pageMargins left="0.7" right="0.7" top="0.78740157499999996" bottom="0.78740157499999996" header="0.3" footer="0.3"/>
  <pageSetup paperSize="9" orientation="portrait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D31"/>
  <sheetViews>
    <sheetView workbookViewId="0"/>
  </sheetViews>
  <sheetFormatPr baseColWidth="10" defaultRowHeight="15" x14ac:dyDescent="0.35"/>
  <cols>
    <col min="1" max="1" width="11.0625" style="218"/>
    <col min="2" max="2" width="73.25" customWidth="1"/>
    <col min="3" max="4" width="11.0625" style="218"/>
  </cols>
  <sheetData>
    <row r="1" spans="1:4" ht="22.3" x14ac:dyDescent="0.5">
      <c r="A1" s="224" t="s">
        <v>893</v>
      </c>
    </row>
    <row r="2" spans="1:4" x14ac:dyDescent="0.35">
      <c r="A2" s="225"/>
    </row>
    <row r="3" spans="1:4" x14ac:dyDescent="0.35">
      <c r="A3" s="219" t="s">
        <v>894</v>
      </c>
      <c r="B3" s="37" t="s">
        <v>895</v>
      </c>
      <c r="C3" s="219" t="s">
        <v>896</v>
      </c>
      <c r="D3" s="219" t="s">
        <v>897</v>
      </c>
    </row>
    <row r="4" spans="1:4" x14ac:dyDescent="0.35">
      <c r="A4" s="222">
        <v>2.0099999999999998</v>
      </c>
      <c r="B4" s="19" t="s">
        <v>898</v>
      </c>
      <c r="C4" s="220">
        <v>43106</v>
      </c>
      <c r="D4" s="221" t="s">
        <v>946</v>
      </c>
    </row>
    <row r="5" spans="1:4" x14ac:dyDescent="0.35">
      <c r="A5" s="222">
        <v>2.1</v>
      </c>
      <c r="B5" s="19" t="s">
        <v>899</v>
      </c>
      <c r="C5" s="220">
        <v>43830</v>
      </c>
      <c r="D5" s="221" t="s">
        <v>946</v>
      </c>
    </row>
    <row r="6" spans="1:4" x14ac:dyDescent="0.35">
      <c r="A6" s="222">
        <v>2.11</v>
      </c>
      <c r="B6" s="19" t="s">
        <v>905</v>
      </c>
      <c r="C6" s="220">
        <v>44221</v>
      </c>
      <c r="D6" s="221" t="s">
        <v>946</v>
      </c>
    </row>
    <row r="7" spans="1:4" x14ac:dyDescent="0.35">
      <c r="A7" s="222">
        <v>2.12</v>
      </c>
      <c r="B7" s="19" t="s">
        <v>910</v>
      </c>
      <c r="C7" s="220">
        <v>45183</v>
      </c>
      <c r="D7" s="221" t="s">
        <v>946</v>
      </c>
    </row>
    <row r="8" spans="1:4" x14ac:dyDescent="0.35">
      <c r="A8" s="232">
        <v>2023.1</v>
      </c>
      <c r="B8" s="19" t="s">
        <v>944</v>
      </c>
      <c r="C8" s="220">
        <v>45218</v>
      </c>
      <c r="D8" s="221" t="s">
        <v>931</v>
      </c>
    </row>
    <row r="9" spans="1:4" x14ac:dyDescent="0.35">
      <c r="A9" s="232">
        <v>2023.1</v>
      </c>
      <c r="B9" s="19" t="s">
        <v>947</v>
      </c>
      <c r="C9" s="220">
        <v>45230</v>
      </c>
      <c r="D9" s="221" t="s">
        <v>931</v>
      </c>
    </row>
    <row r="10" spans="1:4" x14ac:dyDescent="0.35">
      <c r="A10" s="232">
        <v>2023.1</v>
      </c>
      <c r="B10" s="19" t="s">
        <v>945</v>
      </c>
      <c r="C10" s="220">
        <v>45238</v>
      </c>
      <c r="D10" s="221" t="s">
        <v>931</v>
      </c>
    </row>
    <row r="11" spans="1:4" x14ac:dyDescent="0.35">
      <c r="A11" s="222">
        <v>2.13</v>
      </c>
      <c r="B11" s="19" t="s">
        <v>914</v>
      </c>
      <c r="C11" s="220">
        <v>45407</v>
      </c>
      <c r="D11" s="221" t="s">
        <v>946</v>
      </c>
    </row>
    <row r="12" spans="1:4" x14ac:dyDescent="0.35">
      <c r="A12" s="231">
        <v>2023.2</v>
      </c>
      <c r="B12" s="19" t="s">
        <v>1018</v>
      </c>
      <c r="C12" s="220">
        <v>45618</v>
      </c>
      <c r="D12" s="221" t="s">
        <v>931</v>
      </c>
    </row>
    <row r="13" spans="1:4" x14ac:dyDescent="0.35">
      <c r="A13" s="231">
        <v>2023.2</v>
      </c>
      <c r="B13" s="19" t="s">
        <v>1042</v>
      </c>
      <c r="C13" s="220">
        <v>45629</v>
      </c>
      <c r="D13" s="221" t="s">
        <v>931</v>
      </c>
    </row>
    <row r="14" spans="1:4" x14ac:dyDescent="0.35">
      <c r="A14" s="231"/>
      <c r="B14" s="19"/>
      <c r="C14" s="220"/>
      <c r="D14" s="221"/>
    </row>
    <row r="15" spans="1:4" x14ac:dyDescent="0.35">
      <c r="A15" s="231"/>
      <c r="B15" s="19"/>
      <c r="C15" s="220"/>
      <c r="D15" s="221"/>
    </row>
    <row r="16" spans="1:4" x14ac:dyDescent="0.35">
      <c r="A16" s="231"/>
      <c r="B16" s="19"/>
      <c r="C16" s="220"/>
      <c r="D16" s="221"/>
    </row>
    <row r="17" spans="1:4" x14ac:dyDescent="0.35">
      <c r="A17" s="231"/>
      <c r="B17" s="19"/>
      <c r="C17" s="220"/>
      <c r="D17" s="221"/>
    </row>
    <row r="18" spans="1:4" x14ac:dyDescent="0.35">
      <c r="A18" s="231"/>
      <c r="B18" s="19"/>
      <c r="C18" s="220"/>
      <c r="D18" s="221"/>
    </row>
    <row r="19" spans="1:4" x14ac:dyDescent="0.35">
      <c r="A19" s="231"/>
      <c r="B19" s="19"/>
      <c r="C19" s="220"/>
      <c r="D19" s="221"/>
    </row>
    <row r="20" spans="1:4" x14ac:dyDescent="0.35">
      <c r="A20" s="231"/>
      <c r="B20" s="19"/>
      <c r="C20" s="220"/>
      <c r="D20" s="221"/>
    </row>
    <row r="21" spans="1:4" x14ac:dyDescent="0.35">
      <c r="A21" s="231"/>
      <c r="B21" s="19"/>
      <c r="C21" s="220"/>
      <c r="D21" s="221"/>
    </row>
    <row r="22" spans="1:4" x14ac:dyDescent="0.35">
      <c r="A22" s="231"/>
      <c r="B22" s="19"/>
      <c r="C22" s="220"/>
      <c r="D22" s="221"/>
    </row>
    <row r="23" spans="1:4" x14ac:dyDescent="0.35">
      <c r="A23" s="231"/>
      <c r="B23" s="19"/>
      <c r="C23" s="220"/>
      <c r="D23" s="221"/>
    </row>
    <row r="24" spans="1:4" x14ac:dyDescent="0.35">
      <c r="A24" s="231"/>
      <c r="B24" s="19"/>
      <c r="C24" s="220"/>
      <c r="D24" s="221"/>
    </row>
    <row r="25" spans="1:4" x14ac:dyDescent="0.35">
      <c r="A25" s="231"/>
      <c r="B25" s="19"/>
      <c r="C25" s="220"/>
      <c r="D25" s="221"/>
    </row>
    <row r="26" spans="1:4" x14ac:dyDescent="0.35">
      <c r="A26" s="231"/>
      <c r="B26" s="19"/>
      <c r="C26" s="220"/>
      <c r="D26" s="221"/>
    </row>
    <row r="27" spans="1:4" x14ac:dyDescent="0.35">
      <c r="A27" s="231"/>
      <c r="B27" s="19"/>
      <c r="C27" s="220"/>
      <c r="D27" s="221"/>
    </row>
    <row r="28" spans="1:4" x14ac:dyDescent="0.35">
      <c r="A28" s="231"/>
      <c r="B28" s="19"/>
      <c r="C28" s="220"/>
      <c r="D28" s="221"/>
    </row>
    <row r="29" spans="1:4" x14ac:dyDescent="0.35">
      <c r="A29" s="231"/>
      <c r="B29" s="19"/>
      <c r="C29" s="220"/>
      <c r="D29" s="221"/>
    </row>
    <row r="30" spans="1:4" x14ac:dyDescent="0.35">
      <c r="A30" s="231"/>
      <c r="B30" s="19"/>
      <c r="C30" s="220"/>
      <c r="D30" s="221"/>
    </row>
    <row r="31" spans="1:4" x14ac:dyDescent="0.35">
      <c r="A31" s="223" cm="1">
        <f t="array" ref="A31">_xlfn.SINGLE(INDEX($A$4:$A$30,SUMPRODUCT(MAX(($A$4:$A$30&lt;&gt;"")*ROW($A$4:$A$30)))-3,1))</f>
        <v>2023.2</v>
      </c>
      <c r="B31" s="37"/>
      <c r="C31" s="219"/>
      <c r="D31" s="219"/>
    </row>
  </sheetData>
  <sheetProtection algorithmName="SHA-512" hashValue="w2UuLqyEqCadtxuJPKhTB0iBMOzHmWf8k7u5V7lKUXvxeEmDEE0C1S4okhID+YkW4mpeDtuSXQxONAm6onJKUQ==" saltValue="RbaRgUo5J+IfL3aw65kTaA==" spinCount="100000" sheet="1" objects="1" scenarios="1"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1CFC628C8AF54D8914200001F2C70D" ma:contentTypeVersion="15" ma:contentTypeDescription="Create a new document." ma:contentTypeScope="" ma:versionID="fbd0640b3d306804672d321c1ab9023d">
  <xsd:schema xmlns:xsd="http://www.w3.org/2001/XMLSchema" xmlns:xs="http://www.w3.org/2001/XMLSchema" xmlns:p="http://schemas.microsoft.com/office/2006/metadata/properties" xmlns:ns2="19415a2c-3045-4769-8042-b2d573daa356" xmlns:ns3="f9ded8a6-640d-4e2b-81aa-3f415abfbf2d" targetNamespace="http://schemas.microsoft.com/office/2006/metadata/properties" ma:root="true" ma:fieldsID="f584a69666580f70eee65f3c3a94f408" ns2:_="" ns3:_="">
    <xsd:import namespace="19415a2c-3045-4769-8042-b2d573daa356"/>
    <xsd:import namespace="f9ded8a6-640d-4e2b-81aa-3f415abfbf2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2:SharedWithUsers" minOccurs="0"/>
                <xsd:element ref="ns2:SharedWithDetail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415a2c-3045-4769-8042-b2d573daa35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7" nillable="true" ma:displayName="Taxonomy Catch All Column" ma:hidden="true" ma:list="{c27ef632-850c-4879-9790-cfc821f43517}" ma:internalName="TaxCatchAll" ma:showField="CatchAllData" ma:web="19415a2c-3045-4769-8042-b2d573daa3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ded8a6-640d-4e2b-81aa-3f415abfbf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a2125980-255a-4cd1-b09b-d6884cbb769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9ded8a6-640d-4e2b-81aa-3f415abfbf2d">
      <Terms xmlns="http://schemas.microsoft.com/office/infopath/2007/PartnerControls"/>
    </lcf76f155ced4ddcb4097134ff3c332f>
    <TaxCatchAll xmlns="19415a2c-3045-4769-8042-b2d573daa356" xsi:nil="true"/>
    <_dlc_DocId xmlns="19415a2c-3045-4769-8042-b2d573daa356">SKCW24DMUQ4M-227545371-611709</_dlc_DocId>
    <_dlc_DocIdUrl xmlns="19415a2c-3045-4769-8042-b2d573daa356">
      <Url>https://mst239701.sharepoint.com/sites/Files/_layouts/15/DocIdRedir.aspx?ID=SKCW24DMUQ4M-227545371-611709</Url>
      <Description>SKCW24DMUQ4M-227545371-611709</Description>
    </_dlc_DocIdUrl>
  </documentManagement>
</p:properties>
</file>

<file path=customXml/itemProps1.xml><?xml version="1.0" encoding="utf-8"?>
<ds:datastoreItem xmlns:ds="http://schemas.openxmlformats.org/officeDocument/2006/customXml" ds:itemID="{C2CBBC94-CD8B-4884-AA5F-D155FB39ADA2}"/>
</file>

<file path=customXml/itemProps2.xml><?xml version="1.0" encoding="utf-8"?>
<ds:datastoreItem xmlns:ds="http://schemas.openxmlformats.org/officeDocument/2006/customXml" ds:itemID="{6B882A31-FF5E-4D72-9436-F626899AF847}"/>
</file>

<file path=customXml/itemProps3.xml><?xml version="1.0" encoding="utf-8"?>
<ds:datastoreItem xmlns:ds="http://schemas.openxmlformats.org/officeDocument/2006/customXml" ds:itemID="{F62EB691-250C-4413-B17D-F01F2891B227}"/>
</file>

<file path=customXml/itemProps4.xml><?xml version="1.0" encoding="utf-8"?>
<ds:datastoreItem xmlns:ds="http://schemas.openxmlformats.org/officeDocument/2006/customXml" ds:itemID="{1789BA76-D8F3-41C9-AFC0-980B706FC2D4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56</vt:i4>
      </vt:variant>
    </vt:vector>
  </HeadingPairs>
  <TitlesOfParts>
    <vt:vector size="64" baseType="lpstr">
      <vt:lpstr>Résumé</vt:lpstr>
      <vt:lpstr>Fenêtres</vt:lpstr>
      <vt:lpstr>Lumière_du_jour</vt:lpstr>
      <vt:lpstr>Vues</vt:lpstr>
      <vt:lpstr>Questionnaire_rénovation</vt:lpstr>
      <vt:lpstr>Constants</vt:lpstr>
      <vt:lpstr>Texte</vt:lpstr>
      <vt:lpstr>Versionierung</vt:lpstr>
      <vt:lpstr>Antwort_simp</vt:lpstr>
      <vt:lpstr>Bauvorhaben</vt:lpstr>
      <vt:lpstr>Befriedigend</vt:lpstr>
      <vt:lpstr>Fenêtres!Druckbereich</vt:lpstr>
      <vt:lpstr>Lumière_du_jour!Druckbereich</vt:lpstr>
      <vt:lpstr>Questionnaire_rénovation!Druckbereich</vt:lpstr>
      <vt:lpstr>Résumé!Druckbereich</vt:lpstr>
      <vt:lpstr>Vues!Druckbereich</vt:lpstr>
      <vt:lpstr>Druckbereich</vt:lpstr>
      <vt:lpstr>Lumière_du_jour!Drucktitel</vt:lpstr>
      <vt:lpstr>Erneuerung</vt:lpstr>
      <vt:lpstr>Gut</vt:lpstr>
      <vt:lpstr>Ja</vt:lpstr>
      <vt:lpstr>JaNein</vt:lpstr>
      <vt:lpstr>ListAussicht</vt:lpstr>
      <vt:lpstr>ListAussichtQ</vt:lpstr>
      <vt:lpstr>ListBauvorhaben</vt:lpstr>
      <vt:lpstr>ListBeleuchtung</vt:lpstr>
      <vt:lpstr>ListHorizont</vt:lpstr>
      <vt:lpstr>ListNutzung</vt:lpstr>
      <vt:lpstr>ListOrientierung</vt:lpstr>
      <vt:lpstr>ListRaumReflex</vt:lpstr>
      <vt:lpstr>ListSoControl</vt:lpstr>
      <vt:lpstr>ListSoSchu</vt:lpstr>
      <vt:lpstr>ListSprache</vt:lpstr>
      <vt:lpstr>MatrixAussicht</vt:lpstr>
      <vt:lpstr>MatrixBauvorhaben</vt:lpstr>
      <vt:lpstr>MatrixBeleuchtung</vt:lpstr>
      <vt:lpstr>MatrixHorizont</vt:lpstr>
      <vt:lpstr>MatrixNutzung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MatrixTexteT5</vt:lpstr>
      <vt:lpstr>MatrixWindow</vt:lpstr>
      <vt:lpstr>MaxUFläche</vt:lpstr>
      <vt:lpstr>Mindesterfüllung</vt:lpstr>
      <vt:lpstr>Nein</vt:lpstr>
      <vt:lpstr>Neubau</vt:lpstr>
      <vt:lpstr>Nutzung</vt:lpstr>
      <vt:lpstr>Password</vt:lpstr>
      <vt:lpstr>Projektbez</vt:lpstr>
      <vt:lpstr>Renovationsfaktor</vt:lpstr>
      <vt:lpstr>SheetDaylight</vt:lpstr>
      <vt:lpstr>SheetOverview</vt:lpstr>
      <vt:lpstr>SheetQuestionaire</vt:lpstr>
      <vt:lpstr>SheetViews</vt:lpstr>
      <vt:lpstr>SheetWindow</vt:lpstr>
      <vt:lpstr>Sprachwahl</vt:lpstr>
      <vt:lpstr>SummeRaumflaeche</vt:lpstr>
      <vt:lpstr>Version</vt:lpstr>
      <vt:lpstr>VersionNr</vt:lpstr>
    </vt:vector>
  </TitlesOfParts>
  <Company>eTeam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Basil Monkewitz</cp:lastModifiedBy>
  <cp:lastPrinted>2024-12-03T08:57:52Z</cp:lastPrinted>
  <dcterms:created xsi:type="dcterms:W3CDTF">1999-01-20T17:37:13Z</dcterms:created>
  <dcterms:modified xsi:type="dcterms:W3CDTF">2024-12-03T14:43:25Z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0x010100B21CFC628C8AF54D8914200001F2C70D</vt:lpwstr>
  </property>
  <property fmtid="{D5CDD505-2E9C-101B-9397-08002B2CF9AE}" pid="3" name="_dlc_DocIdItemGuid">
    <vt:lpwstr>8d011374-2ff1-465e-9117-a627280515a9</vt:lpwstr>
  </property>
</Properties>
</file>