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trlProps/ctrlProp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6.xml" ContentType="application/vnd.ms-excel.controlproperties+xml"/>
  <Override PartName="/xl/ctrlProps/ctrlProp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sil Monkewitz\Nextcloud\ecobau\05_Instrumente\04_Zusatz_ECO\03_Hilfsmittel\04_Tageslicht-Tool\Tageslicht-Tool\"/>
    </mc:Choice>
  </mc:AlternateContent>
  <xr:revisionPtr revIDLastSave="0" documentId="13_ncr:1_{BE53F439-6833-4876-91DC-1EF075DC95EC}" xr6:coauthVersionLast="47" xr6:coauthVersionMax="47" xr10:uidLastSave="{00000000-0000-0000-0000-000000000000}"/>
  <workbookProtection workbookAlgorithmName="SHA-512" workbookHashValue="faEUq9C2i24ymeEyxT5Eu4WFvMNHeYzZtn7OTa3xY4gsSgfNhQg4itNpSn9o6DUIJ7kLSxbQe7zRoCIvvlIKCg==" workbookSaltValue="bXQiayA7nE0rylLduOQ6HA==" workbookSpinCount="100000" lockStructure="1"/>
  <bookViews>
    <workbookView xWindow="471" yWindow="309" windowWidth="31458" windowHeight="17185" xr2:uid="{00000000-000D-0000-FFFF-FFFF00000000}"/>
  </bookViews>
  <sheets>
    <sheet name="Überblick" sheetId="12" r:id="rId1"/>
    <sheet name="Fenster" sheetId="29" r:id="rId2"/>
    <sheet name="Tageslicht" sheetId="18" r:id="rId3"/>
    <sheet name="Ausblick" sheetId="32" r:id="rId4"/>
    <sheet name="Fragenkatalog_Erneuerung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Tageslicht!#REF!</definedName>
    <definedName name="Antwort_simp">Fragenkatalog_Erneuerung!$A$19</definedName>
    <definedName name="Bauvorhaben">Überblick!$B$8</definedName>
    <definedName name="Befriedigend">Constants!$C$108</definedName>
    <definedName name="_xlnm.Print_Area" localSheetId="3">Ausblick!$A$1:$H$40</definedName>
    <definedName name="_xlnm.Print_Area" localSheetId="1">Fenster!$A$1:$M$39</definedName>
    <definedName name="_xlnm.Print_Area" localSheetId="4">Fragenkatalog_Erneuerung!$A$1:$E$30</definedName>
    <definedName name="_xlnm.Print_Area" localSheetId="2">Tageslicht!$A$1:$R$40</definedName>
    <definedName name="_xlnm.Print_Area" localSheetId="0">Überblick!$A$1:$D$45</definedName>
    <definedName name="_xlnm.Print_Area">Tageslicht!$B$1:$Q$35</definedName>
    <definedName name="_xlnm.Print_Titles" localSheetId="2">Tageslicht!$1:$4</definedName>
    <definedName name="Erneuerung">Constants!$B$19</definedName>
    <definedName name="Gut">Constants!$C$107</definedName>
    <definedName name="Ja">Constants!$B$9</definedName>
    <definedName name="JaNein">Constants!$B$9:$B$10</definedName>
    <definedName name="ListAussicht">Constants!$B$58:$B$64</definedName>
    <definedName name="ListAussichtQ">Constants!$B$66:$B$69</definedName>
    <definedName name="ListBauvorhaben">Constants!$B$18:$B$19</definedName>
    <definedName name="ListBeleuchtung">Constants!$B$72:$B$105</definedName>
    <definedName name="ListHorizont">Constants!$B$54:$B$56</definedName>
    <definedName name="ListNutzung">Constants!$B$22:$B$34</definedName>
    <definedName name="ListOrientierung">Constants!$B$107:$B$115</definedName>
    <definedName name="ListRaumReflex">Constants!$B$36:$B$38</definedName>
    <definedName name="ListSoControl">Constants!$B$47:$B$52</definedName>
    <definedName name="ListSoSchu">Constants!$B$40:$B$45</definedName>
    <definedName name="ListSprache">Texte!$C$4:$F$4</definedName>
    <definedName name="ListWindow">OFFSET(Fenster!$B$5,,,COUNTIF(Fenster!$B$5:$B$39,"&gt;"""),)</definedName>
    <definedName name="MatrixAussicht">Constants!$B$58:$C$64</definedName>
    <definedName name="MatrixBauvorhaben">Constants!$B$18:$C$19</definedName>
    <definedName name="MatrixBeleuchtung">Constants!$B$72:$E$105</definedName>
    <definedName name="MatrixHorizont">Constants!$B$54:$C$56</definedName>
    <definedName name="MatrixNutzung">Constants!$B$22:$D$34</definedName>
    <definedName name="MatrixRaumReflex">Constants!$B$36:$C$38</definedName>
    <definedName name="MatrixSoControl">Constants!$B$47:$C$52</definedName>
    <definedName name="MatrixSoSchu">Constants!$B$40:$C$45</definedName>
    <definedName name="MatrixTexteT1">Texte!$A$5:$B$39</definedName>
    <definedName name="MatrixTexteT2">Texte!$A$43:$B$57</definedName>
    <definedName name="MatrixTexteT3">Texte!$A$61:$B$97</definedName>
    <definedName name="MatrixTexteT4">Texte!$A$129:$B$147</definedName>
    <definedName name="MatrixTexteT5">Texte!$A$101:$B$125</definedName>
    <definedName name="MatrixWindow">Fenster!$B$5:$R$39</definedName>
    <definedName name="MaxUFläche">Constants!$B$113</definedName>
    <definedName name="Mindesterfüllung">Constants!$B$111</definedName>
    <definedName name="Nein">Constants!$B$10</definedName>
    <definedName name="Neubau">Constants!$B$18</definedName>
    <definedName name="Nutzung">Überblick!$B$11</definedName>
    <definedName name="Password">Constants!$B$7</definedName>
    <definedName name="Projektbez">Überblick!$B$5</definedName>
    <definedName name="Renovationsfaktor">Constants!$D$13</definedName>
    <definedName name="Schulen">Constants!#REF!</definedName>
    <definedName name="SheetDaylight">Texte!$B$248</definedName>
    <definedName name="SheetOverview">Texte!$B$246</definedName>
    <definedName name="SheetQuestionaire">Texte!$B$250</definedName>
    <definedName name="SheetViews">Texte!$B$249</definedName>
    <definedName name="SheetWindow">Texte!$B$247</definedName>
    <definedName name="Sprachwahl">Constants!$B$5</definedName>
    <definedName name="SummeRaumflaeche">Tageslicht!$S$38</definedName>
    <definedName name="Version">Constants!$B$115</definedName>
    <definedName name="VersionNr">Versionierung!$A$31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9" i="18" l="1" a="1"/>
  <c r="S39" i="18" s="1"/>
  <c r="B111" i="27"/>
  <c r="B11" i="31"/>
  <c r="B12" i="12" s="1"/>
  <c r="B230" i="31"/>
  <c r="B26" i="27" s="1"/>
  <c r="B5" i="32"/>
  <c r="S38" i="18"/>
  <c r="B39" i="31" l="1"/>
  <c r="A59" i="12" s="1"/>
  <c r="B238" i="31"/>
  <c r="B34" i="27" s="1"/>
  <c r="B237" i="31"/>
  <c r="B33" i="27" s="1"/>
  <c r="B236" i="31"/>
  <c r="B32" i="27" s="1"/>
  <c r="B235" i="31"/>
  <c r="B31" i="27" s="1"/>
  <c r="B234" i="31"/>
  <c r="B30" i="27" s="1"/>
  <c r="B233" i="31"/>
  <c r="B29" i="27" s="1"/>
  <c r="B232" i="31"/>
  <c r="B28" i="27" s="1"/>
  <c r="B231" i="31"/>
  <c r="B27" i="27" s="1"/>
  <c r="B229" i="31"/>
  <c r="B25" i="27" s="1"/>
  <c r="B228" i="31"/>
  <c r="B24" i="27" s="1"/>
  <c r="B227" i="31"/>
  <c r="B23" i="27" s="1"/>
  <c r="B226" i="31"/>
  <c r="B22" i="27" s="1"/>
  <c r="B10" i="31"/>
  <c r="A11" i="12" s="1"/>
  <c r="B22" i="31"/>
  <c r="D31" i="12" s="1"/>
  <c r="B113" i="27"/>
  <c r="R35" i="29" l="1"/>
  <c r="R36" i="29"/>
  <c r="R37" i="29"/>
  <c r="R38" i="29"/>
  <c r="R39" i="29"/>
  <c r="A31" i="33" l="1" a="1"/>
  <c r="A31" i="33" s="1"/>
  <c r="B115" i="27" s="1"/>
  <c r="B176" i="31" l="1"/>
  <c r="B97" i="27" s="1"/>
  <c r="B181" i="31" l="1"/>
  <c r="B102" i="27" s="1"/>
  <c r="B195" i="31" l="1"/>
  <c r="B40" i="27" s="1"/>
  <c r="B201" i="31"/>
  <c r="B47" i="27" s="1"/>
  <c r="B190" i="31"/>
  <c r="B41" i="27" s="1"/>
  <c r="W33" i="18"/>
  <c r="I33" i="32" s="1"/>
  <c r="J33" i="32" s="1"/>
  <c r="W34" i="18"/>
  <c r="I34" i="32" s="1"/>
  <c r="J34" i="32" s="1"/>
  <c r="B6" i="31"/>
  <c r="B23" i="31"/>
  <c r="A39" i="12" s="1"/>
  <c r="B24" i="31"/>
  <c r="A41" i="12" s="1"/>
  <c r="B25" i="31"/>
  <c r="A42" i="12" s="1"/>
  <c r="B26" i="31"/>
  <c r="B249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B111" i="31"/>
  <c r="H4" i="32" s="1"/>
  <c r="B112" i="31"/>
  <c r="B36" i="32" s="1"/>
  <c r="B122" i="31"/>
  <c r="H37" i="32" s="1"/>
  <c r="B121" i="31"/>
  <c r="F37" i="32" s="1"/>
  <c r="B120" i="31"/>
  <c r="G37" i="32" s="1"/>
  <c r="B119" i="31"/>
  <c r="E37" i="32" s="1"/>
  <c r="B118" i="31"/>
  <c r="D37" i="32" s="1"/>
  <c r="B117" i="31"/>
  <c r="C37" i="32" s="1"/>
  <c r="B116" i="31"/>
  <c r="B37" i="32" s="1"/>
  <c r="B115" i="31"/>
  <c r="G36" i="32" s="1"/>
  <c r="B114" i="31"/>
  <c r="E36" i="32" s="1"/>
  <c r="B113" i="31"/>
  <c r="C36" i="32" s="1"/>
  <c r="B123" i="31"/>
  <c r="B38" i="32" s="1"/>
  <c r="B124" i="31"/>
  <c r="B125" i="31"/>
  <c r="B40" i="32" s="1"/>
  <c r="B217" i="31"/>
  <c r="B69" i="27" s="1"/>
  <c r="B216" i="31"/>
  <c r="B68" i="27" s="1"/>
  <c r="B215" i="31"/>
  <c r="B67" i="27" s="1"/>
  <c r="B214" i="31"/>
  <c r="B66" i="27" s="1"/>
  <c r="B103" i="31"/>
  <c r="C3" i="32" s="1"/>
  <c r="B107" i="31"/>
  <c r="C4" i="32" s="1"/>
  <c r="B108" i="31"/>
  <c r="D4" i="32" s="1"/>
  <c r="B109" i="31"/>
  <c r="E4" i="32" s="1"/>
  <c r="B106" i="31"/>
  <c r="B4" i="32" s="1"/>
  <c r="B105" i="31"/>
  <c r="B104" i="31"/>
  <c r="B102" i="31"/>
  <c r="B3" i="32" s="1"/>
  <c r="B101" i="31"/>
  <c r="A1" i="32" s="1"/>
  <c r="B211" i="31"/>
  <c r="B63" i="27" s="1"/>
  <c r="B212" i="31"/>
  <c r="B64" i="27" s="1"/>
  <c r="B210" i="31"/>
  <c r="B62" i="27" s="1"/>
  <c r="B209" i="31"/>
  <c r="B61" i="27" s="1"/>
  <c r="B208" i="31"/>
  <c r="B60" i="27" s="1"/>
  <c r="B207" i="31"/>
  <c r="B59" i="27" s="1"/>
  <c r="B206" i="31"/>
  <c r="B58" i="27" s="1"/>
  <c r="F100" i="31"/>
  <c r="E100" i="31"/>
  <c r="D100" i="31"/>
  <c r="C100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83" i="31"/>
  <c r="R4" i="18" s="1"/>
  <c r="B63" i="31"/>
  <c r="R3" i="18" s="1"/>
  <c r="G3" i="32" s="1"/>
  <c r="S5" i="18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286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366" i="31"/>
  <c r="C365" i="31"/>
  <c r="C364" i="31"/>
  <c r="C363" i="31"/>
  <c r="C358" i="31"/>
  <c r="C357" i="31"/>
  <c r="C356" i="31"/>
  <c r="C355" i="31"/>
  <c r="C350" i="31"/>
  <c r="C349" i="31"/>
  <c r="C348" i="31"/>
  <c r="C347" i="31"/>
  <c r="C339" i="31"/>
  <c r="C340" i="31"/>
  <c r="C341" i="31"/>
  <c r="C342" i="31"/>
  <c r="C362" i="31"/>
  <c r="C361" i="31"/>
  <c r="C354" i="31"/>
  <c r="C353" i="31"/>
  <c r="C346" i="31"/>
  <c r="C345" i="31"/>
  <c r="C338" i="31"/>
  <c r="C337" i="31"/>
  <c r="C334" i="31"/>
  <c r="C333" i="31"/>
  <c r="C330" i="31"/>
  <c r="C329" i="31"/>
  <c r="C326" i="31"/>
  <c r="C325" i="31"/>
  <c r="C322" i="31"/>
  <c r="C321" i="31"/>
  <c r="C318" i="31"/>
  <c r="C317" i="31"/>
  <c r="C314" i="31"/>
  <c r="C313" i="31"/>
  <c r="C310" i="31"/>
  <c r="C309" i="31"/>
  <c r="C305" i="31"/>
  <c r="C306" i="31"/>
  <c r="D360" i="31"/>
  <c r="C360" i="31" s="1"/>
  <c r="D352" i="31"/>
  <c r="C352" i="31" s="1"/>
  <c r="D344" i="31"/>
  <c r="C344" i="31" s="1"/>
  <c r="C343" i="31"/>
  <c r="C351" i="31"/>
  <c r="C359" i="31"/>
  <c r="C256" i="31"/>
  <c r="C257" i="31"/>
  <c r="C285" i="31"/>
  <c r="C302" i="31"/>
  <c r="C303" i="31"/>
  <c r="C304" i="31"/>
  <c r="C307" i="31"/>
  <c r="C308" i="31"/>
  <c r="C311" i="31"/>
  <c r="C312" i="31"/>
  <c r="C315" i="31"/>
  <c r="C316" i="31"/>
  <c r="C319" i="31"/>
  <c r="C320" i="31"/>
  <c r="C323" i="31"/>
  <c r="C324" i="31"/>
  <c r="C327" i="31"/>
  <c r="C328" i="31"/>
  <c r="C331" i="31"/>
  <c r="C332" i="31"/>
  <c r="C335" i="31"/>
  <c r="C255" i="31"/>
  <c r="D336" i="31"/>
  <c r="C336" i="31" s="1"/>
  <c r="S24" i="18"/>
  <c r="K24" i="32" s="1"/>
  <c r="S25" i="18"/>
  <c r="K25" i="32" s="1"/>
  <c r="S26" i="18"/>
  <c r="K26" i="32" s="1"/>
  <c r="S27" i="18"/>
  <c r="K27" i="32" s="1"/>
  <c r="S28" i="18"/>
  <c r="K28" i="32" s="1"/>
  <c r="S29" i="18"/>
  <c r="K29" i="32" s="1"/>
  <c r="S30" i="18"/>
  <c r="K30" i="32" s="1"/>
  <c r="S31" i="18"/>
  <c r="K31" i="32" s="1"/>
  <c r="S32" i="18"/>
  <c r="S33" i="18"/>
  <c r="T33" i="18"/>
  <c r="Y33" i="18"/>
  <c r="AG33" i="18" s="1"/>
  <c r="Z33" i="18"/>
  <c r="AH33" i="18"/>
  <c r="S34" i="18"/>
  <c r="K34" i="32" s="1"/>
  <c r="T34" i="18"/>
  <c r="AB34" i="18" s="1"/>
  <c r="Y34" i="18"/>
  <c r="AG34" i="18" s="1"/>
  <c r="Z34" i="18"/>
  <c r="AH34" i="18"/>
  <c r="B87" i="31"/>
  <c r="N36" i="18" s="1"/>
  <c r="B88" i="31"/>
  <c r="B37" i="18" s="1"/>
  <c r="B86" i="31"/>
  <c r="J36" i="18" s="1"/>
  <c r="B92" i="31"/>
  <c r="J37" i="18" s="1"/>
  <c r="B93" i="31"/>
  <c r="L37" i="18" s="1"/>
  <c r="B91" i="31"/>
  <c r="N37" i="18" s="1"/>
  <c r="B94" i="31"/>
  <c r="P37" i="18" s="1"/>
  <c r="B89" i="31"/>
  <c r="F37" i="18" s="1"/>
  <c r="B90" i="31"/>
  <c r="H37" i="18" s="1"/>
  <c r="B85" i="31"/>
  <c r="F36" i="18" s="1"/>
  <c r="F42" i="31"/>
  <c r="E42" i="31"/>
  <c r="D42" i="31"/>
  <c r="C42" i="31"/>
  <c r="F60" i="31"/>
  <c r="E60" i="31"/>
  <c r="D60" i="31"/>
  <c r="C60" i="31"/>
  <c r="F128" i="31"/>
  <c r="E128" i="31"/>
  <c r="D128" i="31"/>
  <c r="C128" i="31"/>
  <c r="G254" i="31"/>
  <c r="F254" i="31"/>
  <c r="E254" i="31"/>
  <c r="D254" i="31"/>
  <c r="F150" i="31"/>
  <c r="E150" i="31"/>
  <c r="D150" i="31"/>
  <c r="C150" i="31"/>
  <c r="B250" i="31"/>
  <c r="B248" i="31"/>
  <c r="B247" i="31"/>
  <c r="B246" i="31"/>
  <c r="B29" i="31"/>
  <c r="B244" i="31"/>
  <c r="B10" i="27" s="1"/>
  <c r="B243" i="31"/>
  <c r="B9" i="27" s="1"/>
  <c r="B224" i="31"/>
  <c r="B19" i="27" s="1"/>
  <c r="B223" i="31"/>
  <c r="B18" i="27" s="1"/>
  <c r="B147" i="31"/>
  <c r="D29" i="28" s="1"/>
  <c r="B146" i="31"/>
  <c r="D27" i="28" s="1"/>
  <c r="B145" i="31"/>
  <c r="D25" i="28" s="1"/>
  <c r="B144" i="31"/>
  <c r="C23" i="28" s="1"/>
  <c r="B143" i="31"/>
  <c r="B23" i="28" s="1"/>
  <c r="B142" i="31"/>
  <c r="A23" i="28" s="1"/>
  <c r="B141" i="31"/>
  <c r="A21" i="28" s="1"/>
  <c r="B140" i="31"/>
  <c r="B139" i="31"/>
  <c r="B138" i="31"/>
  <c r="B137" i="31"/>
  <c r="A17" i="28" s="1"/>
  <c r="B136" i="31"/>
  <c r="A13" i="28" s="1"/>
  <c r="B135" i="31"/>
  <c r="A11" i="28" s="1"/>
  <c r="B134" i="31"/>
  <c r="A9" i="28" s="1"/>
  <c r="B133" i="31"/>
  <c r="A7" i="28" s="1"/>
  <c r="B132" i="31"/>
  <c r="A5" i="28" s="1"/>
  <c r="B131" i="31"/>
  <c r="E3" i="28" s="1"/>
  <c r="B130" i="31"/>
  <c r="A3" i="28" s="1"/>
  <c r="B129" i="31"/>
  <c r="A1" i="28" s="1"/>
  <c r="B221" i="31"/>
  <c r="B220" i="31"/>
  <c r="E108" i="27" s="1"/>
  <c r="B219" i="31"/>
  <c r="E107" i="27" s="1"/>
  <c r="B204" i="31"/>
  <c r="B56" i="27" s="1"/>
  <c r="Q29" i="29" s="1"/>
  <c r="B203" i="31"/>
  <c r="B55" i="27" s="1"/>
  <c r="B202" i="31"/>
  <c r="B54" i="27" s="1"/>
  <c r="B200" i="31"/>
  <c r="B52" i="27" s="1"/>
  <c r="B199" i="31"/>
  <c r="B51" i="27" s="1"/>
  <c r="B198" i="31"/>
  <c r="B50" i="27" s="1"/>
  <c r="B197" i="31"/>
  <c r="B49" i="27" s="1"/>
  <c r="B196" i="31"/>
  <c r="B48" i="27" s="1"/>
  <c r="P25" i="29" s="1"/>
  <c r="B194" i="31"/>
  <c r="B45" i="27" s="1"/>
  <c r="O28" i="29" s="1"/>
  <c r="B193" i="31"/>
  <c r="B44" i="27" s="1"/>
  <c r="B192" i="31"/>
  <c r="B43" i="27" s="1"/>
  <c r="B191" i="31"/>
  <c r="B42" i="27" s="1"/>
  <c r="B188" i="31"/>
  <c r="B38" i="27" s="1"/>
  <c r="B187" i="31"/>
  <c r="B37" i="27" s="1"/>
  <c r="B186" i="31"/>
  <c r="B36" i="27" s="1"/>
  <c r="B168" i="31"/>
  <c r="B89" i="27" s="1"/>
  <c r="B169" i="31"/>
  <c r="B90" i="27" s="1"/>
  <c r="B170" i="31"/>
  <c r="B91" i="27" s="1"/>
  <c r="B171" i="31"/>
  <c r="B92" i="27" s="1"/>
  <c r="B172" i="31"/>
  <c r="B93" i="27" s="1"/>
  <c r="B173" i="31"/>
  <c r="B94" i="27" s="1"/>
  <c r="B174" i="31"/>
  <c r="B95" i="27" s="1"/>
  <c r="B175" i="31"/>
  <c r="B96" i="27" s="1"/>
  <c r="B177" i="31"/>
  <c r="B98" i="27" s="1"/>
  <c r="B178" i="31"/>
  <c r="B99" i="27" s="1"/>
  <c r="B179" i="31"/>
  <c r="B100" i="27" s="1"/>
  <c r="B180" i="31"/>
  <c r="B101" i="27" s="1"/>
  <c r="B182" i="31"/>
  <c r="B103" i="27" s="1"/>
  <c r="B183" i="31"/>
  <c r="B104" i="27" s="1"/>
  <c r="B184" i="31"/>
  <c r="B105" i="27" s="1"/>
  <c r="AH29" i="18" s="1"/>
  <c r="B167" i="31"/>
  <c r="B88" i="27" s="1"/>
  <c r="B166" i="31"/>
  <c r="B87" i="27" s="1"/>
  <c r="B165" i="31"/>
  <c r="B86" i="27" s="1"/>
  <c r="B164" i="31"/>
  <c r="B85" i="27" s="1"/>
  <c r="B163" i="31"/>
  <c r="B84" i="27" s="1"/>
  <c r="B162" i="31"/>
  <c r="B83" i="27" s="1"/>
  <c r="B161" i="31"/>
  <c r="B82" i="27" s="1"/>
  <c r="B160" i="31"/>
  <c r="B81" i="27" s="1"/>
  <c r="B159" i="31"/>
  <c r="B80" i="27" s="1"/>
  <c r="B158" i="31"/>
  <c r="B79" i="27" s="1"/>
  <c r="B157" i="31"/>
  <c r="B78" i="27" s="1"/>
  <c r="B156" i="31"/>
  <c r="B77" i="27" s="1"/>
  <c r="B155" i="31"/>
  <c r="B76" i="27" s="1"/>
  <c r="B154" i="31"/>
  <c r="B75" i="27" s="1"/>
  <c r="B153" i="31"/>
  <c r="B74" i="27" s="1"/>
  <c r="B152" i="31"/>
  <c r="B73" i="27" s="1"/>
  <c r="B151" i="31"/>
  <c r="B72" i="27" s="1"/>
  <c r="B96" i="31"/>
  <c r="B97" i="31"/>
  <c r="B40" i="18" s="1"/>
  <c r="B73" i="31"/>
  <c r="I4" i="18" s="1"/>
  <c r="B74" i="31"/>
  <c r="J3" i="18" s="1"/>
  <c r="B75" i="31"/>
  <c r="J4" i="18" s="1"/>
  <c r="B76" i="31"/>
  <c r="K4" i="18" s="1"/>
  <c r="B77" i="31"/>
  <c r="L4" i="18" s="1"/>
  <c r="B78" i="31"/>
  <c r="M4" i="18" s="1"/>
  <c r="B79" i="31"/>
  <c r="N4" i="18" s="1"/>
  <c r="B80" i="31"/>
  <c r="O4" i="18" s="1"/>
  <c r="B81" i="31"/>
  <c r="P4" i="18" s="1"/>
  <c r="B82" i="31"/>
  <c r="Q4" i="18" s="1"/>
  <c r="B84" i="31"/>
  <c r="B36" i="18" s="1"/>
  <c r="B95" i="31"/>
  <c r="B38" i="18" s="1"/>
  <c r="B62" i="31"/>
  <c r="B3" i="18" s="1"/>
  <c r="B64" i="31"/>
  <c r="B65" i="31"/>
  <c r="B4" i="18" s="1"/>
  <c r="B66" i="31"/>
  <c r="C4" i="18" s="1"/>
  <c r="B67" i="31"/>
  <c r="D3" i="18" s="1"/>
  <c r="B68" i="31"/>
  <c r="D4" i="18" s="1"/>
  <c r="B69" i="31"/>
  <c r="E4" i="18" s="1"/>
  <c r="B70" i="31"/>
  <c r="F4" i="18" s="1"/>
  <c r="B71" i="31"/>
  <c r="G4" i="18" s="1"/>
  <c r="B72" i="31"/>
  <c r="H4" i="18" s="1"/>
  <c r="B61" i="31"/>
  <c r="A1" i="18" s="1"/>
  <c r="B43" i="31"/>
  <c r="A1" i="29" s="1"/>
  <c r="B45" i="31"/>
  <c r="B4" i="29" s="1"/>
  <c r="B46" i="31"/>
  <c r="C4" i="29" s="1"/>
  <c r="B47" i="31"/>
  <c r="D4" i="29" s="1"/>
  <c r="B48" i="31"/>
  <c r="E4" i="29" s="1"/>
  <c r="B49" i="31"/>
  <c r="F4" i="29" s="1"/>
  <c r="B50" i="31"/>
  <c r="G4" i="29" s="1"/>
  <c r="B51" i="31"/>
  <c r="H4" i="29" s="1"/>
  <c r="B52" i="31"/>
  <c r="I4" i="29" s="1"/>
  <c r="B53" i="31"/>
  <c r="J4" i="29" s="1"/>
  <c r="B54" i="31"/>
  <c r="K3" i="29" s="1"/>
  <c r="B55" i="31"/>
  <c r="K4" i="29" s="1"/>
  <c r="B56" i="31"/>
  <c r="L4" i="29" s="1"/>
  <c r="B57" i="31"/>
  <c r="M4" i="29" s="1"/>
  <c r="B44" i="31"/>
  <c r="B3" i="29" s="1"/>
  <c r="B7" i="31"/>
  <c r="B8" i="31"/>
  <c r="B9" i="31"/>
  <c r="B12" i="31"/>
  <c r="B13" i="31"/>
  <c r="B14" i="31"/>
  <c r="B15" i="31"/>
  <c r="B16" i="31"/>
  <c r="B17" i="31"/>
  <c r="B18" i="31"/>
  <c r="A31" i="12" s="1"/>
  <c r="B19" i="31"/>
  <c r="B20" i="31"/>
  <c r="B21" i="31"/>
  <c r="B27" i="31"/>
  <c r="B28" i="31"/>
  <c r="D47" i="12" s="1"/>
  <c r="B5" i="31"/>
  <c r="B35" i="31"/>
  <c r="B38" i="31"/>
  <c r="S6" i="18"/>
  <c r="K6" i="32" s="1"/>
  <c r="S7" i="18"/>
  <c r="K7" i="32" s="1"/>
  <c r="S8" i="18"/>
  <c r="K8" i="32" s="1"/>
  <c r="S9" i="18"/>
  <c r="K9" i="32" s="1"/>
  <c r="S10" i="18"/>
  <c r="K10" i="32" s="1"/>
  <c r="S11" i="18"/>
  <c r="K11" i="32" s="1"/>
  <c r="S12" i="18"/>
  <c r="K12" i="32" s="1"/>
  <c r="S13" i="18"/>
  <c r="K13" i="32"/>
  <c r="S14" i="18"/>
  <c r="S15" i="18"/>
  <c r="K15" i="32" s="1"/>
  <c r="S16" i="18"/>
  <c r="K16" i="32" s="1"/>
  <c r="S17" i="18"/>
  <c r="K17" i="32" s="1"/>
  <c r="S18" i="18"/>
  <c r="K18" i="32" s="1"/>
  <c r="S19" i="18"/>
  <c r="K19" i="32" s="1"/>
  <c r="S20" i="18"/>
  <c r="K20" i="32" s="1"/>
  <c r="S21" i="18"/>
  <c r="K21" i="32" s="1"/>
  <c r="S22" i="18"/>
  <c r="K22" i="32" s="1"/>
  <c r="S23" i="18"/>
  <c r="K23" i="32" s="1"/>
  <c r="AH13" i="18"/>
  <c r="Y13" i="18"/>
  <c r="AG13" i="18" s="1"/>
  <c r="Q26" i="29"/>
  <c r="Q34" i="29"/>
  <c r="P29" i="29"/>
  <c r="P30" i="29"/>
  <c r="O25" i="29"/>
  <c r="O29" i="29"/>
  <c r="O33" i="29"/>
  <c r="D109" i="27"/>
  <c r="D108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105" i="27"/>
  <c r="E81" i="27"/>
  <c r="E76" i="27"/>
  <c r="E79" i="27"/>
  <c r="E99" i="27"/>
  <c r="E93" i="27"/>
  <c r="E95" i="27"/>
  <c r="E88" i="27"/>
  <c r="E75" i="27"/>
  <c r="E80" i="27"/>
  <c r="E94" i="27"/>
  <c r="E87" i="27"/>
  <c r="E77" i="27"/>
  <c r="E103" i="27"/>
  <c r="E92" i="27"/>
  <c r="E98" i="27"/>
  <c r="E84" i="27"/>
  <c r="E83" i="27"/>
  <c r="E104" i="27"/>
  <c r="E89" i="27"/>
  <c r="E72" i="27"/>
  <c r="E74" i="27"/>
  <c r="E100" i="27"/>
  <c r="E73" i="27"/>
  <c r="E91" i="27"/>
  <c r="E90" i="27"/>
  <c r="E86" i="27"/>
  <c r="E101" i="27"/>
  <c r="E78" i="27"/>
  <c r="E96" i="27"/>
  <c r="E85" i="27"/>
  <c r="E82" i="27"/>
  <c r="C25" i="28"/>
  <c r="C27" i="28"/>
  <c r="C29" i="28"/>
  <c r="B29" i="28"/>
  <c r="A29" i="28"/>
  <c r="A27" i="28"/>
  <c r="B27" i="28"/>
  <c r="B25" i="28"/>
  <c r="A25" i="28"/>
  <c r="X34" i="18"/>
  <c r="X33" i="18"/>
  <c r="K33" i="32"/>
  <c r="B110" i="31"/>
  <c r="G4" i="32" s="1"/>
  <c r="B39" i="32" l="1"/>
  <c r="B39" i="18"/>
  <c r="F30" i="31"/>
  <c r="E30" i="31"/>
  <c r="C30" i="31"/>
  <c r="D30" i="31"/>
  <c r="E31" i="31"/>
  <c r="C31" i="31"/>
  <c r="B9" i="12"/>
  <c r="O11" i="29"/>
  <c r="A36" i="12"/>
  <c r="E109" i="27"/>
  <c r="K5" i="32"/>
  <c r="Q25" i="29"/>
  <c r="P24" i="29"/>
  <c r="Q35" i="29"/>
  <c r="Q38" i="29"/>
  <c r="Q39" i="29"/>
  <c r="Q37" i="29"/>
  <c r="Q36" i="29"/>
  <c r="O24" i="29"/>
  <c r="O27" i="29"/>
  <c r="P32" i="29"/>
  <c r="Q28" i="29"/>
  <c r="O34" i="29"/>
  <c r="O26" i="29"/>
  <c r="P31" i="29"/>
  <c r="P23" i="29"/>
  <c r="Q27" i="29"/>
  <c r="O32" i="29"/>
  <c r="O31" i="29"/>
  <c r="O23" i="29"/>
  <c r="P28" i="29"/>
  <c r="Q32" i="29"/>
  <c r="Q24" i="29"/>
  <c r="W13" i="18"/>
  <c r="I13" i="32" s="1"/>
  <c r="J13" i="32" s="1"/>
  <c r="L13" i="32" s="1"/>
  <c r="O30" i="29"/>
  <c r="Q31" i="29"/>
  <c r="Q23" i="29"/>
  <c r="P26" i="29"/>
  <c r="Q30" i="29"/>
  <c r="P39" i="29"/>
  <c r="P36" i="29"/>
  <c r="P37" i="29"/>
  <c r="P38" i="29"/>
  <c r="P35" i="29"/>
  <c r="Q33" i="29"/>
  <c r="P27" i="29"/>
  <c r="P34" i="29"/>
  <c r="P33" i="29"/>
  <c r="O35" i="29"/>
  <c r="O36" i="29"/>
  <c r="O37" i="29"/>
  <c r="O38" i="29"/>
  <c r="O39" i="29"/>
  <c r="Z17" i="18"/>
  <c r="A45" i="12"/>
  <c r="B15" i="27"/>
  <c r="AH18" i="18"/>
  <c r="Z10" i="18"/>
  <c r="P6" i="29"/>
  <c r="O10" i="29"/>
  <c r="AH10" i="18"/>
  <c r="Z11" i="18"/>
  <c r="P8" i="29"/>
  <c r="P22" i="29"/>
  <c r="AH17" i="18"/>
  <c r="Z23" i="18"/>
  <c r="Z15" i="18"/>
  <c r="Z8" i="18"/>
  <c r="AH16" i="18"/>
  <c r="AH8" i="18"/>
  <c r="P5" i="29"/>
  <c r="Z16" i="18"/>
  <c r="AH9" i="18"/>
  <c r="Z22" i="18"/>
  <c r="W24" i="18"/>
  <c r="I24" i="32" s="1"/>
  <c r="J24" i="32" s="1"/>
  <c r="L24" i="32" s="1"/>
  <c r="P16" i="29"/>
  <c r="P15" i="29"/>
  <c r="Z7" i="18"/>
  <c r="P14" i="29"/>
  <c r="Z21" i="18"/>
  <c r="Z13" i="18"/>
  <c r="AH22" i="18"/>
  <c r="AH14" i="18"/>
  <c r="O12" i="29"/>
  <c r="W17" i="18"/>
  <c r="I17" i="32" s="1"/>
  <c r="J17" i="32" s="1"/>
  <c r="L17" i="32" s="1"/>
  <c r="AH6" i="18"/>
  <c r="Z9" i="18"/>
  <c r="P7" i="29"/>
  <c r="AH15" i="18"/>
  <c r="Z20" i="18"/>
  <c r="AH21" i="18"/>
  <c r="Z14" i="18"/>
  <c r="Z6" i="18"/>
  <c r="Z19" i="18"/>
  <c r="Z12" i="18"/>
  <c r="AH20" i="18"/>
  <c r="AH12" i="18"/>
  <c r="AH7" i="18"/>
  <c r="Z5" i="18"/>
  <c r="AH23" i="18"/>
  <c r="Z18" i="18"/>
  <c r="AH19" i="18"/>
  <c r="AH11" i="18"/>
  <c r="Z30" i="18"/>
  <c r="O18" i="29"/>
  <c r="P9" i="29"/>
  <c r="W16" i="18"/>
  <c r="I16" i="32" s="1"/>
  <c r="J16" i="32" s="1"/>
  <c r="L16" i="32" s="1"/>
  <c r="Y28" i="18"/>
  <c r="Z26" i="18"/>
  <c r="Y7" i="18"/>
  <c r="AH24" i="18"/>
  <c r="W9" i="18"/>
  <c r="I9" i="32" s="1"/>
  <c r="J9" i="32" s="1"/>
  <c r="L9" i="32" s="1"/>
  <c r="Z24" i="18"/>
  <c r="W8" i="18"/>
  <c r="I8" i="32" s="1"/>
  <c r="J8" i="32" s="1"/>
  <c r="L8" i="32" s="1"/>
  <c r="P13" i="29"/>
  <c r="P12" i="29"/>
  <c r="P19" i="29"/>
  <c r="P11" i="29"/>
  <c r="AH27" i="18"/>
  <c r="P20" i="29"/>
  <c r="P18" i="29"/>
  <c r="P10" i="29"/>
  <c r="Z27" i="18"/>
  <c r="W32" i="18"/>
  <c r="I32" i="32" s="1"/>
  <c r="J32" i="32" s="1"/>
  <c r="L32" i="32" s="1"/>
  <c r="P21" i="29"/>
  <c r="P17" i="29"/>
  <c r="E36" i="31"/>
  <c r="AH30" i="18"/>
  <c r="W25" i="18"/>
  <c r="I25" i="32" s="1"/>
  <c r="J25" i="32" s="1"/>
  <c r="L25" i="32" s="1"/>
  <c r="Q13" i="29"/>
  <c r="Q5" i="29"/>
  <c r="Q12" i="29"/>
  <c r="Q20" i="29"/>
  <c r="Y5" i="18"/>
  <c r="O9" i="29"/>
  <c r="O19" i="29"/>
  <c r="Y22" i="18"/>
  <c r="Y18" i="18"/>
  <c r="Y14" i="18"/>
  <c r="Y10" i="18"/>
  <c r="Y32" i="18"/>
  <c r="Z29" i="18"/>
  <c r="Y26" i="18"/>
  <c r="W26" i="18"/>
  <c r="I26" i="32" s="1"/>
  <c r="J26" i="32" s="1"/>
  <c r="L26" i="32" s="1"/>
  <c r="W18" i="18"/>
  <c r="I18" i="32" s="1"/>
  <c r="J18" i="32" s="1"/>
  <c r="L18" i="32" s="1"/>
  <c r="W10" i="18"/>
  <c r="I10" i="32" s="1"/>
  <c r="J10" i="32" s="1"/>
  <c r="L10" i="32" s="1"/>
  <c r="O16" i="29"/>
  <c r="O8" i="29"/>
  <c r="F37" i="31"/>
  <c r="F36" i="31"/>
  <c r="E37" i="31"/>
  <c r="E33" i="31"/>
  <c r="D37" i="31"/>
  <c r="F33" i="31"/>
  <c r="C37" i="31"/>
  <c r="D36" i="31"/>
  <c r="D33" i="31"/>
  <c r="C36" i="31"/>
  <c r="C33" i="31"/>
  <c r="AH31" i="18"/>
  <c r="Y30" i="18"/>
  <c r="Y27" i="18"/>
  <c r="AH25" i="18"/>
  <c r="Y24" i="18"/>
  <c r="W31" i="18"/>
  <c r="I31" i="32" s="1"/>
  <c r="J31" i="32" s="1"/>
  <c r="L31" i="32" s="1"/>
  <c r="W23" i="18"/>
  <c r="I23" i="32" s="1"/>
  <c r="J23" i="32" s="1"/>
  <c r="L23" i="32" s="1"/>
  <c r="W15" i="18"/>
  <c r="I15" i="32" s="1"/>
  <c r="J15" i="32" s="1"/>
  <c r="L15" i="32" s="1"/>
  <c r="W7" i="18"/>
  <c r="I7" i="32" s="1"/>
  <c r="J7" i="32" s="1"/>
  <c r="L7" i="32" s="1"/>
  <c r="Y17" i="18"/>
  <c r="Y6" i="18"/>
  <c r="O15" i="29"/>
  <c r="Y20" i="18"/>
  <c r="Y16" i="18"/>
  <c r="Y12" i="18"/>
  <c r="Y8" i="18"/>
  <c r="AH5" i="18"/>
  <c r="Z31" i="18"/>
  <c r="AH28" i="18"/>
  <c r="Z25" i="18"/>
  <c r="W30" i="18"/>
  <c r="I30" i="32" s="1"/>
  <c r="J30" i="32" s="1"/>
  <c r="L30" i="32" s="1"/>
  <c r="W22" i="18"/>
  <c r="I22" i="32" s="1"/>
  <c r="J22" i="32" s="1"/>
  <c r="L22" i="32" s="1"/>
  <c r="W14" i="18"/>
  <c r="I14" i="32" s="1"/>
  <c r="J14" i="32" s="1"/>
  <c r="L14" i="32" s="1"/>
  <c r="W6" i="18"/>
  <c r="I6" i="32" s="1"/>
  <c r="J6" i="32" s="1"/>
  <c r="L6" i="32" s="1"/>
  <c r="O17" i="29"/>
  <c r="Y9" i="18"/>
  <c r="O5" i="29"/>
  <c r="O22" i="29"/>
  <c r="O14" i="29"/>
  <c r="Y31" i="18"/>
  <c r="Z28" i="18"/>
  <c r="Y25" i="18"/>
  <c r="W29" i="18"/>
  <c r="I29" i="32" s="1"/>
  <c r="J29" i="32" s="1"/>
  <c r="L29" i="32" s="1"/>
  <c r="W21" i="18"/>
  <c r="I21" i="32" s="1"/>
  <c r="J21" i="32" s="1"/>
  <c r="L21" i="32" s="1"/>
  <c r="Y21" i="18"/>
  <c r="F32" i="31"/>
  <c r="E32" i="31"/>
  <c r="F31" i="31"/>
  <c r="D32" i="31"/>
  <c r="C32" i="31"/>
  <c r="D31" i="31"/>
  <c r="O7" i="29"/>
  <c r="O6" i="29"/>
  <c r="O21" i="29"/>
  <c r="O13" i="29"/>
  <c r="Y23" i="18"/>
  <c r="Y19" i="18"/>
  <c r="Y15" i="18"/>
  <c r="Y11" i="18"/>
  <c r="N24" i="29"/>
  <c r="N35" i="29"/>
  <c r="N36" i="29"/>
  <c r="N39" i="29"/>
  <c r="N37" i="29"/>
  <c r="N38" i="29"/>
  <c r="AH32" i="18"/>
  <c r="AH26" i="18"/>
  <c r="W28" i="18"/>
  <c r="I28" i="32" s="1"/>
  <c r="J28" i="32" s="1"/>
  <c r="L28" i="32" s="1"/>
  <c r="W20" i="18"/>
  <c r="I20" i="32" s="1"/>
  <c r="J20" i="32" s="1"/>
  <c r="L20" i="32" s="1"/>
  <c r="W12" i="18"/>
  <c r="I12" i="32" s="1"/>
  <c r="J12" i="32" s="1"/>
  <c r="L12" i="32" s="1"/>
  <c r="Y29" i="18"/>
  <c r="O20" i="29"/>
  <c r="Z32" i="18"/>
  <c r="F34" i="31"/>
  <c r="E34" i="31"/>
  <c r="D34" i="31"/>
  <c r="C34" i="31"/>
  <c r="W5" i="18"/>
  <c r="I5" i="32" s="1"/>
  <c r="J5" i="32" s="1"/>
  <c r="L5" i="32" s="1"/>
  <c r="W27" i="18"/>
  <c r="I27" i="32" s="1"/>
  <c r="J27" i="32" s="1"/>
  <c r="L27" i="32" s="1"/>
  <c r="W19" i="18"/>
  <c r="I19" i="32" s="1"/>
  <c r="J19" i="32" s="1"/>
  <c r="L19" i="32" s="1"/>
  <c r="W11" i="18"/>
  <c r="I11" i="32" s="1"/>
  <c r="J11" i="32" s="1"/>
  <c r="L11" i="32" s="1"/>
  <c r="Q6" i="29"/>
  <c r="Q18" i="29"/>
  <c r="Q10" i="29"/>
  <c r="Q16" i="29"/>
  <c r="Q8" i="29"/>
  <c r="Q11" i="29"/>
  <c r="Q17" i="29"/>
  <c r="Q15" i="29"/>
  <c r="Q9" i="29"/>
  <c r="Q7" i="29"/>
  <c r="Q19" i="29"/>
  <c r="Q22" i="29"/>
  <c r="Q14" i="29"/>
  <c r="Q21" i="29"/>
  <c r="A44" i="12"/>
  <c r="A58" i="12"/>
  <c r="A17" i="12"/>
  <c r="A8" i="12"/>
  <c r="A47" i="12"/>
  <c r="A26" i="12"/>
  <c r="A3" i="12"/>
  <c r="A14" i="12"/>
  <c r="A29" i="12"/>
  <c r="A37" i="12"/>
  <c r="A23" i="12"/>
  <c r="D1" i="12"/>
  <c r="A33" i="12"/>
  <c r="A5" i="12"/>
  <c r="A34" i="12"/>
  <c r="A20" i="12"/>
  <c r="K14" i="32"/>
  <c r="K32" i="32"/>
  <c r="F240" i="31"/>
  <c r="E240" i="31"/>
  <c r="B13" i="27"/>
  <c r="D13" i="27" s="1"/>
  <c r="AI34" i="18"/>
  <c r="AJ34" i="18" s="1"/>
  <c r="R34" i="18" s="1"/>
  <c r="F241" i="31"/>
  <c r="AI33" i="18"/>
  <c r="AJ33" i="18" s="1"/>
  <c r="R33" i="18" s="1"/>
  <c r="C241" i="31"/>
  <c r="D241" i="31"/>
  <c r="U34" i="18"/>
  <c r="AE34" i="18"/>
  <c r="AC34" i="18"/>
  <c r="AA34" i="18"/>
  <c r="N7" i="29"/>
  <c r="D240" i="31"/>
  <c r="N19" i="29"/>
  <c r="C240" i="31"/>
  <c r="A1" i="12"/>
  <c r="N8" i="29"/>
  <c r="N32" i="29"/>
  <c r="N29" i="29"/>
  <c r="N5" i="29"/>
  <c r="N26" i="29"/>
  <c r="N14" i="29"/>
  <c r="N31" i="29"/>
  <c r="N33" i="29"/>
  <c r="N17" i="29"/>
  <c r="N23" i="29"/>
  <c r="N16" i="29"/>
  <c r="N10" i="29"/>
  <c r="T6" i="18" s="1"/>
  <c r="V6" i="18" s="1"/>
  <c r="AD6" i="18" s="1"/>
  <c r="N27" i="29"/>
  <c r="N12" i="29"/>
  <c r="N21" i="29"/>
  <c r="N22" i="29"/>
  <c r="N20" i="29"/>
  <c r="N28" i="29"/>
  <c r="N15" i="29"/>
  <c r="N30" i="29"/>
  <c r="N13" i="29"/>
  <c r="N6" i="29"/>
  <c r="T11" i="18" s="1"/>
  <c r="U11" i="18" s="1"/>
  <c r="AA11" i="18" s="1"/>
  <c r="N11" i="29"/>
  <c r="T13" i="18" s="1"/>
  <c r="X13" i="18" s="1"/>
  <c r="N34" i="29"/>
  <c r="N18" i="29"/>
  <c r="N9" i="29"/>
  <c r="N25" i="29"/>
  <c r="L33" i="32"/>
  <c r="U33" i="18"/>
  <c r="V33" i="18"/>
  <c r="AD33" i="18" s="1"/>
  <c r="AB33" i="18"/>
  <c r="AA33" i="18"/>
  <c r="AC33" i="18"/>
  <c r="AE33" i="18"/>
  <c r="AI13" i="18"/>
  <c r="AJ13" i="18" s="1"/>
  <c r="R13" i="18" s="1"/>
  <c r="V34" i="18"/>
  <c r="AD34" i="18" s="1"/>
  <c r="B14" i="27"/>
  <c r="E241" i="31"/>
  <c r="L34" i="32"/>
  <c r="H30" i="32" l="1"/>
  <c r="M30" i="32"/>
  <c r="G30" i="32" s="1"/>
  <c r="H15" i="32"/>
  <c r="M15" i="32"/>
  <c r="G15" i="32" s="1"/>
  <c r="H34" i="32"/>
  <c r="M34" i="32"/>
  <c r="G34" i="32" s="1"/>
  <c r="H23" i="32"/>
  <c r="M23" i="32"/>
  <c r="G23" i="32" s="1"/>
  <c r="H21" i="32"/>
  <c r="M21" i="32"/>
  <c r="G21" i="32" s="1"/>
  <c r="H31" i="32"/>
  <c r="M31" i="32"/>
  <c r="G31" i="32" s="1"/>
  <c r="H17" i="32"/>
  <c r="M17" i="32"/>
  <c r="G17" i="32" s="1"/>
  <c r="H29" i="32"/>
  <c r="M29" i="32"/>
  <c r="G29" i="32" s="1"/>
  <c r="H32" i="32"/>
  <c r="M32" i="32"/>
  <c r="G32" i="32" s="1"/>
  <c r="H11" i="32"/>
  <c r="M11" i="32"/>
  <c r="G11" i="32" s="1"/>
  <c r="H33" i="32"/>
  <c r="M33" i="32"/>
  <c r="G33" i="32" s="1"/>
  <c r="H19" i="32"/>
  <c r="M19" i="32"/>
  <c r="G19" i="32" s="1"/>
  <c r="H6" i="32"/>
  <c r="M6" i="32"/>
  <c r="G6" i="32" s="1"/>
  <c r="H16" i="32"/>
  <c r="M16" i="32"/>
  <c r="G16" i="32" s="1"/>
  <c r="H24" i="32"/>
  <c r="M24" i="32"/>
  <c r="G24" i="32" s="1"/>
  <c r="H27" i="32"/>
  <c r="M27" i="32"/>
  <c r="G27" i="32" s="1"/>
  <c r="H14" i="32"/>
  <c r="M14" i="32"/>
  <c r="G14" i="32" s="1"/>
  <c r="H10" i="32"/>
  <c r="M10" i="32"/>
  <c r="G10" i="32" s="1"/>
  <c r="H8" i="32"/>
  <c r="M8" i="32"/>
  <c r="G8" i="32" s="1"/>
  <c r="H13" i="32"/>
  <c r="M13" i="32"/>
  <c r="G13" i="32" s="1"/>
  <c r="H5" i="32"/>
  <c r="C39" i="32" a="1"/>
  <c r="C39" i="32" s="1"/>
  <c r="G39" i="32" s="1"/>
  <c r="M5" i="32"/>
  <c r="G5" i="32" s="1"/>
  <c r="H12" i="32"/>
  <c r="M12" i="32"/>
  <c r="G12" i="32" s="1"/>
  <c r="H22" i="32"/>
  <c r="M22" i="32"/>
  <c r="G22" i="32" s="1"/>
  <c r="H18" i="32"/>
  <c r="M18" i="32"/>
  <c r="G18" i="32" s="1"/>
  <c r="H25" i="32"/>
  <c r="M25" i="32"/>
  <c r="G25" i="32" s="1"/>
  <c r="H7" i="32"/>
  <c r="M7" i="32"/>
  <c r="G7" i="32" s="1"/>
  <c r="H26" i="32"/>
  <c r="M26" i="32"/>
  <c r="G26" i="32" s="1"/>
  <c r="H9" i="32"/>
  <c r="M9" i="32"/>
  <c r="G9" i="32" s="1"/>
  <c r="H20" i="32"/>
  <c r="M20" i="32"/>
  <c r="G20" i="32" s="1"/>
  <c r="H28" i="32"/>
  <c r="M28" i="32"/>
  <c r="G28" i="32" s="1"/>
  <c r="K35" i="32"/>
  <c r="C38" i="32" s="1"/>
  <c r="G38" i="32" s="1"/>
  <c r="C41" i="12" s="1"/>
  <c r="B36" i="31"/>
  <c r="A56" i="12" s="1"/>
  <c r="B33" i="31"/>
  <c r="A49" i="12" s="1"/>
  <c r="B30" i="31"/>
  <c r="B32" i="31"/>
  <c r="A55" i="12" s="1"/>
  <c r="V13" i="18"/>
  <c r="AD13" i="18" s="1"/>
  <c r="U13" i="18"/>
  <c r="AA13" i="18" s="1"/>
  <c r="AB13" i="18"/>
  <c r="AE13" i="18"/>
  <c r="B34" i="31"/>
  <c r="U6" i="18"/>
  <c r="AA6" i="18" s="1"/>
  <c r="AC6" i="18"/>
  <c r="T5" i="18"/>
  <c r="T25" i="18"/>
  <c r="T22" i="18"/>
  <c r="T7" i="18"/>
  <c r="T8" i="18"/>
  <c r="T15" i="18"/>
  <c r="T23" i="18"/>
  <c r="T16" i="18"/>
  <c r="T24" i="18"/>
  <c r="T17" i="18"/>
  <c r="T10" i="18"/>
  <c r="T18" i="18"/>
  <c r="X6" i="18"/>
  <c r="T26" i="18"/>
  <c r="T12" i="18"/>
  <c r="T9" i="18"/>
  <c r="B240" i="31"/>
  <c r="V11" i="18"/>
  <c r="AD11" i="18" s="1"/>
  <c r="X11" i="18"/>
  <c r="AB11" i="18"/>
  <c r="B241" i="31"/>
  <c r="AE11" i="18"/>
  <c r="AC13" i="18"/>
  <c r="T28" i="18"/>
  <c r="T21" i="18"/>
  <c r="T29" i="18"/>
  <c r="T31" i="18"/>
  <c r="T14" i="18"/>
  <c r="T27" i="18"/>
  <c r="T30" i="18"/>
  <c r="T19" i="18"/>
  <c r="T20" i="18"/>
  <c r="AB6" i="18"/>
  <c r="T32" i="18"/>
  <c r="AC11" i="18"/>
  <c r="AE6" i="18"/>
  <c r="A43" i="12"/>
  <c r="A35" i="12"/>
  <c r="B37" i="31"/>
  <c r="B31" i="31"/>
  <c r="A51" i="12" s="1"/>
  <c r="D39" i="32"/>
  <c r="AF34" i="18"/>
  <c r="AF33" i="18"/>
  <c r="A50" i="12" l="1"/>
  <c r="A19" i="28"/>
  <c r="A54" i="12"/>
  <c r="A53" i="12"/>
  <c r="A52" i="12"/>
  <c r="AF13" i="18"/>
  <c r="AF6" i="18"/>
  <c r="AG6" i="18" s="1"/>
  <c r="AI6" i="18" s="1"/>
  <c r="AJ6" i="18" s="1"/>
  <c r="R6" i="18" s="1"/>
  <c r="AF11" i="18"/>
  <c r="AG11" i="18" s="1"/>
  <c r="AI11" i="18" s="1"/>
  <c r="AJ11" i="18" s="1"/>
  <c r="R11" i="18" s="1"/>
  <c r="U26" i="18"/>
  <c r="AA26" i="18" s="1"/>
  <c r="X26" i="18"/>
  <c r="AE26" i="18"/>
  <c r="V26" i="18"/>
  <c r="AD26" i="18" s="1"/>
  <c r="AB26" i="18"/>
  <c r="AC26" i="18"/>
  <c r="V15" i="18"/>
  <c r="AD15" i="18" s="1"/>
  <c r="AE15" i="18"/>
  <c r="AB15" i="18"/>
  <c r="AC15" i="18"/>
  <c r="X15" i="18"/>
  <c r="U15" i="18"/>
  <c r="AA15" i="18" s="1"/>
  <c r="U14" i="18"/>
  <c r="AA14" i="18" s="1"/>
  <c r="X14" i="18"/>
  <c r="AC14" i="18"/>
  <c r="AB14" i="18"/>
  <c r="V14" i="18"/>
  <c r="AD14" i="18" s="1"/>
  <c r="AE14" i="18"/>
  <c r="AE31" i="18"/>
  <c r="AB31" i="18"/>
  <c r="V31" i="18"/>
  <c r="AD31" i="18" s="1"/>
  <c r="X31" i="18"/>
  <c r="U31" i="18"/>
  <c r="AA31" i="18" s="1"/>
  <c r="AC8" i="18"/>
  <c r="U8" i="18"/>
  <c r="AA8" i="18" s="1"/>
  <c r="X8" i="18"/>
  <c r="AE8" i="18"/>
  <c r="V8" i="18"/>
  <c r="AD8" i="18" s="1"/>
  <c r="AB8" i="18"/>
  <c r="AE18" i="18"/>
  <c r="V18" i="18"/>
  <c r="AD18" i="18" s="1"/>
  <c r="X18" i="18"/>
  <c r="AC18" i="18"/>
  <c r="U18" i="18"/>
  <c r="AA18" i="18" s="1"/>
  <c r="AB18" i="18"/>
  <c r="X20" i="18"/>
  <c r="AB20" i="18"/>
  <c r="U20" i="18"/>
  <c r="AA20" i="18" s="1"/>
  <c r="AE20" i="18"/>
  <c r="V20" i="18"/>
  <c r="AD20" i="18" s="1"/>
  <c r="U28" i="18"/>
  <c r="AA28" i="18" s="1"/>
  <c r="V28" i="18"/>
  <c r="AD28" i="18" s="1"/>
  <c r="AC28" i="18"/>
  <c r="AE28" i="18"/>
  <c r="X28" i="18"/>
  <c r="AB28" i="18"/>
  <c r="AC20" i="18"/>
  <c r="X17" i="18"/>
  <c r="U17" i="18"/>
  <c r="AA17" i="18" s="1"/>
  <c r="AE17" i="18"/>
  <c r="V17" i="18"/>
  <c r="AD17" i="18" s="1"/>
  <c r="AB17" i="18"/>
  <c r="AC17" i="18"/>
  <c r="AB25" i="18"/>
  <c r="X25" i="18"/>
  <c r="AC25" i="18"/>
  <c r="U25" i="18"/>
  <c r="AA25" i="18" s="1"/>
  <c r="AE25" i="18"/>
  <c r="V25" i="18"/>
  <c r="AD25" i="18" s="1"/>
  <c r="AE29" i="18"/>
  <c r="X29" i="18"/>
  <c r="U29" i="18"/>
  <c r="AA29" i="18" s="1"/>
  <c r="AB29" i="18"/>
  <c r="V29" i="18"/>
  <c r="AD29" i="18" s="1"/>
  <c r="AC29" i="18"/>
  <c r="AC21" i="18"/>
  <c r="AE21" i="18"/>
  <c r="AB21" i="18"/>
  <c r="X21" i="18"/>
  <c r="V21" i="18"/>
  <c r="AD21" i="18" s="1"/>
  <c r="U21" i="18"/>
  <c r="AA21" i="18" s="1"/>
  <c r="X10" i="18"/>
  <c r="U10" i="18"/>
  <c r="AA10" i="18" s="1"/>
  <c r="AB10" i="18"/>
  <c r="AC10" i="18"/>
  <c r="AE10" i="18"/>
  <c r="V10" i="18"/>
  <c r="AD10" i="18" s="1"/>
  <c r="AE19" i="18"/>
  <c r="AC19" i="18"/>
  <c r="X19" i="18"/>
  <c r="V19" i="18"/>
  <c r="AD19" i="18" s="1"/>
  <c r="U19" i="18"/>
  <c r="AA19" i="18" s="1"/>
  <c r="AB19" i="18"/>
  <c r="X24" i="18"/>
  <c r="U24" i="18"/>
  <c r="AA24" i="18" s="1"/>
  <c r="AB24" i="18"/>
  <c r="AE24" i="18"/>
  <c r="AC24" i="18"/>
  <c r="V24" i="18"/>
  <c r="AD24" i="18" s="1"/>
  <c r="AC5" i="18"/>
  <c r="V5" i="18"/>
  <c r="AD5" i="18" s="1"/>
  <c r="AE5" i="18"/>
  <c r="U5" i="18"/>
  <c r="AA5" i="18" s="1"/>
  <c r="AB5" i="18"/>
  <c r="X5" i="18"/>
  <c r="U32" i="18"/>
  <c r="AA32" i="18" s="1"/>
  <c r="AB32" i="18"/>
  <c r="AE32" i="18"/>
  <c r="X32" i="18"/>
  <c r="V32" i="18"/>
  <c r="AD32" i="18" s="1"/>
  <c r="AC32" i="18"/>
  <c r="V7" i="18"/>
  <c r="AD7" i="18" s="1"/>
  <c r="AC7" i="18"/>
  <c r="X7" i="18"/>
  <c r="AB7" i="18"/>
  <c r="U7" i="18"/>
  <c r="AA7" i="18" s="1"/>
  <c r="AE7" i="18"/>
  <c r="AE22" i="18"/>
  <c r="X22" i="18"/>
  <c r="AC22" i="18"/>
  <c r="AB22" i="18"/>
  <c r="V22" i="18"/>
  <c r="AD22" i="18" s="1"/>
  <c r="U22" i="18"/>
  <c r="AA22" i="18" s="1"/>
  <c r="AE30" i="18"/>
  <c r="X30" i="18"/>
  <c r="AB30" i="18"/>
  <c r="V30" i="18"/>
  <c r="AD30" i="18" s="1"/>
  <c r="U30" i="18"/>
  <c r="AA30" i="18" s="1"/>
  <c r="AC30" i="18"/>
  <c r="AC31" i="18"/>
  <c r="AC9" i="18"/>
  <c r="U9" i="18"/>
  <c r="AA9" i="18" s="1"/>
  <c r="X9" i="18"/>
  <c r="AE9" i="18"/>
  <c r="AB9" i="18"/>
  <c r="V9" i="18"/>
  <c r="AD9" i="18" s="1"/>
  <c r="AC16" i="18"/>
  <c r="V16" i="18"/>
  <c r="AD16" i="18" s="1"/>
  <c r="AE16" i="18"/>
  <c r="U16" i="18"/>
  <c r="AA16" i="18" s="1"/>
  <c r="X16" i="18"/>
  <c r="AB16" i="18"/>
  <c r="U27" i="18"/>
  <c r="AA27" i="18" s="1"/>
  <c r="V27" i="18"/>
  <c r="AD27" i="18" s="1"/>
  <c r="AC27" i="18"/>
  <c r="AB27" i="18"/>
  <c r="X27" i="18"/>
  <c r="AE27" i="18"/>
  <c r="U12" i="18"/>
  <c r="AA12" i="18" s="1"/>
  <c r="X12" i="18"/>
  <c r="AE12" i="18"/>
  <c r="AB12" i="18"/>
  <c r="AC12" i="18"/>
  <c r="V12" i="18"/>
  <c r="AD12" i="18" s="1"/>
  <c r="AE23" i="18"/>
  <c r="AB23" i="18"/>
  <c r="V23" i="18"/>
  <c r="AD23" i="18" s="1"/>
  <c r="U23" i="18"/>
  <c r="AA23" i="18" s="1"/>
  <c r="X23" i="18"/>
  <c r="AC23" i="18"/>
  <c r="A57" i="12"/>
  <c r="C42" i="12"/>
  <c r="H39" i="32"/>
  <c r="AF5" i="18" l="1"/>
  <c r="AG5" i="18" s="1"/>
  <c r="AI5" i="18" s="1"/>
  <c r="AJ5" i="18" s="1"/>
  <c r="R5" i="18" s="1"/>
  <c r="AF26" i="18"/>
  <c r="AG26" i="18" s="1"/>
  <c r="AI26" i="18" s="1"/>
  <c r="AJ26" i="18" s="1"/>
  <c r="R26" i="18" s="1"/>
  <c r="AF27" i="18"/>
  <c r="AG27" i="18" s="1"/>
  <c r="AI27" i="18" s="1"/>
  <c r="AJ27" i="18" s="1"/>
  <c r="R27" i="18" s="1"/>
  <c r="AF29" i="18"/>
  <c r="AG29" i="18" s="1"/>
  <c r="AI29" i="18" s="1"/>
  <c r="AJ29" i="18" s="1"/>
  <c r="R29" i="18" s="1"/>
  <c r="AF20" i="18"/>
  <c r="AG20" i="18" s="1"/>
  <c r="AI20" i="18" s="1"/>
  <c r="AJ20" i="18" s="1"/>
  <c r="R20" i="18" s="1"/>
  <c r="AF12" i="18"/>
  <c r="AG12" i="18" s="1"/>
  <c r="AI12" i="18" s="1"/>
  <c r="AJ12" i="18" s="1"/>
  <c r="R12" i="18" s="1"/>
  <c r="AF14" i="18"/>
  <c r="AG14" i="18" s="1"/>
  <c r="AI14" i="18" s="1"/>
  <c r="AJ14" i="18" s="1"/>
  <c r="R14" i="18" s="1"/>
  <c r="AF7" i="18"/>
  <c r="AG7" i="18" s="1"/>
  <c r="AI7" i="18" s="1"/>
  <c r="AJ7" i="18" s="1"/>
  <c r="R7" i="18" s="1"/>
  <c r="AF24" i="18"/>
  <c r="AG24" i="18" s="1"/>
  <c r="AI24" i="18" s="1"/>
  <c r="AJ24" i="18" s="1"/>
  <c r="R24" i="18" s="1"/>
  <c r="AF28" i="18"/>
  <c r="AG28" i="18" s="1"/>
  <c r="AI28" i="18" s="1"/>
  <c r="AJ28" i="18" s="1"/>
  <c r="R28" i="18" s="1"/>
  <c r="AF9" i="18"/>
  <c r="AG9" i="18" s="1"/>
  <c r="AI9" i="18" s="1"/>
  <c r="AJ9" i="18" s="1"/>
  <c r="R9" i="18" s="1"/>
  <c r="AF22" i="18"/>
  <c r="AG22" i="18" s="1"/>
  <c r="AI22" i="18" s="1"/>
  <c r="AJ22" i="18" s="1"/>
  <c r="R22" i="18" s="1"/>
  <c r="AF19" i="18"/>
  <c r="AG19" i="18" s="1"/>
  <c r="AI19" i="18" s="1"/>
  <c r="AJ19" i="18" s="1"/>
  <c r="R19" i="18" s="1"/>
  <c r="AF15" i="18"/>
  <c r="AG15" i="18" s="1"/>
  <c r="AI15" i="18" s="1"/>
  <c r="AJ15" i="18" s="1"/>
  <c r="R15" i="18" s="1"/>
  <c r="AF32" i="18"/>
  <c r="AG32" i="18" s="1"/>
  <c r="AI32" i="18" s="1"/>
  <c r="AJ32" i="18" s="1"/>
  <c r="R32" i="18" s="1"/>
  <c r="AF10" i="18"/>
  <c r="AG10" i="18" s="1"/>
  <c r="AI10" i="18" s="1"/>
  <c r="AJ10" i="18" s="1"/>
  <c r="R10" i="18" s="1"/>
  <c r="AF25" i="18"/>
  <c r="AG25" i="18" s="1"/>
  <c r="AI25" i="18" s="1"/>
  <c r="AJ25" i="18" s="1"/>
  <c r="R25" i="18" s="1"/>
  <c r="AF17" i="18"/>
  <c r="AG17" i="18" s="1"/>
  <c r="AI17" i="18" s="1"/>
  <c r="AJ17" i="18" s="1"/>
  <c r="R17" i="18" s="1"/>
  <c r="AF18" i="18"/>
  <c r="AG18" i="18" s="1"/>
  <c r="AI18" i="18" s="1"/>
  <c r="AJ18" i="18" s="1"/>
  <c r="R18" i="18" s="1"/>
  <c r="AF16" i="18"/>
  <c r="AG16" i="18" s="1"/>
  <c r="AI16" i="18" s="1"/>
  <c r="AJ16" i="18" s="1"/>
  <c r="R16" i="18" s="1"/>
  <c r="AF8" i="18"/>
  <c r="AG8" i="18" s="1"/>
  <c r="AI8" i="18" s="1"/>
  <c r="AJ8" i="18" s="1"/>
  <c r="R8" i="18" s="1"/>
  <c r="AF23" i="18"/>
  <c r="AG23" i="18" s="1"/>
  <c r="AI23" i="18" s="1"/>
  <c r="AJ23" i="18" s="1"/>
  <c r="R23" i="18" s="1"/>
  <c r="AF30" i="18"/>
  <c r="AG30" i="18" s="1"/>
  <c r="AI30" i="18" s="1"/>
  <c r="AJ30" i="18" s="1"/>
  <c r="R30" i="18" s="1"/>
  <c r="AF21" i="18"/>
  <c r="AG21" i="18" s="1"/>
  <c r="AI21" i="18" s="1"/>
  <c r="AJ21" i="18" s="1"/>
  <c r="R21" i="18" s="1"/>
  <c r="AF31" i="18"/>
  <c r="AG31" i="18" s="1"/>
  <c r="AI31" i="18" s="1"/>
  <c r="AJ31" i="18" s="1"/>
  <c r="R31" i="18" s="1"/>
  <c r="C43" i="12"/>
  <c r="P38" i="18"/>
  <c r="F39" i="18"/>
  <c r="N39" i="18" s="1"/>
  <c r="C34" i="12" s="1"/>
  <c r="F38" i="18"/>
  <c r="N38" i="18" s="1"/>
  <c r="C33" i="12" s="1"/>
  <c r="L35" i="32"/>
  <c r="AJ38" i="18"/>
  <c r="H38" i="18" s="1"/>
  <c r="G40" i="32" l="1"/>
  <c r="C45" i="12" s="1"/>
  <c r="D38" i="32"/>
  <c r="C36" i="12"/>
  <c r="P39" i="18"/>
  <c r="H39" i="18"/>
  <c r="M35" i="32"/>
  <c r="L38" i="32"/>
  <c r="M38" i="32" s="1"/>
  <c r="H38" i="32" s="1"/>
  <c r="C44" i="12" s="1"/>
  <c r="C35" i="12" l="1"/>
  <c r="N40" i="18"/>
  <c r="C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4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<sst xmlns="http://schemas.openxmlformats.org/spreadsheetml/2006/main" count="1663" uniqueCount="1143">
  <si>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</si>
  <si>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</si>
  <si>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</si>
  <si>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</si>
  <si>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</si>
  <si>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</si>
  <si>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</si>
  <si>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</si>
  <si>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</si>
  <si>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</si>
  <si>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</si>
  <si>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</si>
  <si>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</si>
  <si>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</si>
  <si>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</si>
  <si>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</si>
  <si>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</si>
  <si>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</si>
  <si>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</si>
  <si>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</si>
  <si>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</si>
  <si>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</si>
  <si>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</si>
  <si>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</si>
  <si>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</si>
  <si>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</si>
  <si>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</si>
  <si>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</si>
  <si>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</si>
  <si>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</si>
  <si>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</si>
  <si>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</si>
  <si>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</si>
  <si>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</si>
  <si>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</si>
  <si>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</si>
  <si>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</si>
  <si>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</si>
  <si>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</si>
  <si>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</si>
  <si>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</si>
  <si>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</si>
  <si>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</si>
  <si>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</si>
  <si>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</si>
  <si>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</si>
  <si>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</si>
  <si>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</si>
  <si>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</si>
  <si>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</si>
  <si>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</si>
  <si>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</si>
  <si>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</si>
  <si>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</si>
  <si>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</si>
  <si>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</si>
  <si>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</si>
  <si>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</si>
  <si>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</si>
  <si>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</si>
  <si>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</si>
  <si>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</si>
  <si>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</si>
  <si>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</si>
  <si>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</si>
  <si>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</si>
  <si>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</si>
  <si>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</si>
  <si>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</si>
  <si>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</si>
  <si>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</si>
  <si>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</si>
  <si>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</si>
  <si>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</si>
  <si>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</si>
  <si>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</si>
  <si>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</si>
  <si>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</si>
  <si>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</si>
  <si>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</si>
  <si>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</si>
  <si>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</si>
  <si>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</si>
  <si>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</si>
  <si>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</si>
  <si>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</si>
  <si>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</si>
  <si>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</si>
  <si>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</si>
  <si>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</si>
  <si>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</si>
  <si>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</si>
  <si>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</si>
  <si>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</si>
  <si>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</si>
  <si>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</si>
  <si>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</si>
  <si>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</si>
  <si>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</si>
  <si>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</si>
  <si>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</si>
  <si>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</si>
  <si>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</si>
  <si>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</si>
  <si>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</si>
  <si>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</si>
  <si>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</si>
  <si>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</si>
  <si>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</si>
  <si>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</si>
  <si>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</si>
  <si>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</si>
  <si>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</si>
  <si>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</si>
  <si>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</si>
  <si>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</si>
  <si>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</si>
  <si>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</si>
  <si>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</si>
  <si>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</si>
  <si>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</si>
  <si>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</si>
  <si>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</si>
  <si>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</si>
  <si>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</si>
  <si>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</si>
  <si>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</si>
  <si>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</si>
  <si>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</si>
  <si>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</si>
  <si>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</si>
  <si>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</si>
  <si>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</si>
  <si>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</si>
  <si>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</si>
  <si>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</si>
  <si>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</si>
  <si>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</si>
  <si>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</si>
  <si>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</si>
  <si>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</si>
  <si>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</si>
  <si>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</si>
  <si>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</si>
  <si>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</si>
  <si>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</si>
  <si>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</si>
  <si>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</si>
  <si>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</si>
  <si>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</si>
  <si>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</si>
  <si>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</si>
  <si>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</si>
  <si>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</si>
  <si>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</si>
  <si>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</si>
  <si>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</si>
  <si>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</si>
  <si>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</si>
  <si>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</si>
  <si>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</si>
  <si>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</si>
  <si>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</si>
  <si>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</si>
  <si>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A3</t>
  </si>
  <si>
    <t>A1</t>
  </si>
  <si>
    <t>A5</t>
  </si>
  <si>
    <t>A8</t>
  </si>
  <si>
    <t>A11</t>
  </si>
  <si>
    <t>A17</t>
  </si>
  <si>
    <t>A23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</si>
  <si>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</si>
  <si>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</si>
  <si>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</si>
  <si>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</si>
  <si>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</si>
  <si>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</si>
  <si>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</si>
  <si>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</si>
  <si>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</si>
  <si>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</si>
  <si>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</si>
  <si>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</si>
  <si>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</si>
  <si>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</si>
  <si>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</si>
  <si>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</si>
  <si>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</si>
  <si>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</si>
  <si>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</si>
  <si>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</si>
  <si>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</si>
  <si>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</si>
  <si>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</si>
  <si>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</si>
  <si>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</si>
  <si>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</si>
  <si>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</si>
  <si>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</si>
  <si>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</si>
  <si>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E3</t>
  </si>
  <si>
    <t>A7</t>
  </si>
  <si>
    <t>A9</t>
  </si>
  <si>
    <t>A13</t>
  </si>
  <si>
    <t>A19</t>
  </si>
  <si>
    <t>A21</t>
  </si>
  <si>
    <t>Bemerkung Typ</t>
  </si>
  <si>
    <t>JaNein</t>
  </si>
  <si>
    <t>B23</t>
  </si>
  <si>
    <t>C23</t>
  </si>
  <si>
    <t>D25</t>
  </si>
  <si>
    <t>D27</t>
  </si>
  <si>
    <t>D29</t>
  </si>
  <si>
    <t>Objet</t>
  </si>
  <si>
    <t>Projet</t>
  </si>
  <si>
    <t>Maître de l'ouvrage</t>
  </si>
  <si>
    <t>Architecte</t>
  </si>
  <si>
    <t>Planificateur électricité</t>
  </si>
  <si>
    <t>Planificateur éclairage</t>
  </si>
  <si>
    <t>Date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</si>
  <si>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</si>
  <si>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</si>
  <si>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</si>
  <si>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</si>
  <si>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</si>
  <si>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</si>
  <si>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</si>
  <si>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</si>
  <si>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</si>
  <si>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</si>
  <si>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</si>
  <si>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</si>
  <si>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</si>
  <si>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</si>
  <si>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</si>
  <si>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</si>
  <si>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</si>
  <si>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</si>
  <si>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</si>
  <si>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</si>
  <si>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Quéstions</t>
  </si>
  <si>
    <t>Réponse</t>
  </si>
  <si>
    <t>Compte-rendu</t>
  </si>
  <si>
    <t>CET ONGLET NE DOIT ÊTRE REMPLI QUE DANS LE CAS D’UNE RÉNOVATION</t>
  </si>
  <si>
    <t>Habitat</t>
  </si>
  <si>
    <t>Administration</t>
  </si>
  <si>
    <t>École</t>
  </si>
  <si>
    <t>Bâtiments avec une faible proportion de fenêtres</t>
  </si>
  <si>
    <t>Bâtiment avec une proportion élevée de fenêtres</t>
  </si>
  <si>
    <t xml:space="preserve">Eine ausführliche Anleitung finden Sie auf der Minergie-Website.  </t>
  </si>
  <si>
    <t>Hauteur du linteau 
m</t>
  </si>
  <si>
    <t>Porte-à-faux
m</t>
  </si>
  <si>
    <t>Lumière zénithale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</si>
  <si>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</si>
  <si>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</si>
  <si>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</si>
  <si>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</si>
  <si>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</si>
  <si>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</si>
  <si>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</si>
  <si>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</si>
  <si>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</si>
  <si>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</si>
  <si>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</si>
  <si>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</si>
  <si>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</si>
  <si>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</si>
  <si>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</si>
  <si>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</si>
  <si>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</si>
  <si>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</si>
  <si>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</si>
  <si>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</si>
  <si>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</si>
  <si>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</si>
  <si>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</si>
  <si>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</si>
  <si>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</si>
  <si>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</si>
  <si>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</si>
  <si>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</si>
  <si>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</si>
  <si>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</si>
  <si>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</si>
  <si>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Rénovation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</si>
  <si>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</si>
  <si>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</si>
  <si>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</si>
  <si>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</si>
  <si>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</si>
  <si>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</si>
  <si>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</si>
  <si>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</si>
  <si>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</si>
  <si>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Abrév.
-</t>
  </si>
  <si>
    <t>Hau-teur
m</t>
  </si>
  <si>
    <t>Type
-</t>
  </si>
  <si>
    <t>Non</t>
  </si>
  <si>
    <t>Oui</t>
  </si>
  <si>
    <t>Dati Ogetto</t>
  </si>
  <si>
    <t>Progetto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</si>
  <si>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</si>
  <si>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</si>
  <si>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</si>
  <si>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</si>
  <si>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</si>
  <si>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</si>
  <si>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</si>
  <si>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</si>
  <si>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Procedimento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</si>
  <si>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</si>
  <si>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</si>
  <si>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</si>
  <si>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</si>
  <si>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</si>
  <si>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</si>
  <si>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</si>
  <si>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</si>
  <si>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</si>
  <si>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Object data</t>
  </si>
  <si>
    <t>Project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</si>
  <si>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</si>
  <si>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</si>
  <si>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</si>
  <si>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</si>
  <si>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</si>
  <si>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</si>
  <si>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</si>
  <si>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>Quick guide</t>
  </si>
  <si>
    <t>Window data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</si>
  <si>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</si>
  <si>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</si>
  <si>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</si>
  <si>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</si>
  <si>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</si>
  <si>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</si>
  <si>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</si>
  <si>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</si>
  <si>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</si>
  <si>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</si>
  <si>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</si>
  <si>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</si>
  <si>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</si>
  <si>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</si>
  <si>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</si>
  <si>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</si>
  <si>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</si>
  <si>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</si>
  <si>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</si>
  <si>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</si>
  <si>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</si>
  <si>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</si>
  <si>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</si>
  <si>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</si>
  <si>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</si>
  <si>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</si>
  <si>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</si>
  <si>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</si>
  <si>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</si>
  <si>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</si>
  <si>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</si>
  <si>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 locali sono dipinti con colori chiari?</t>
  </si>
  <si>
    <t>QUESTO FOGLIO DEVE ESSERE COMPLETATO UNICAMENTE IN CASO DI AMMODERNAMENTO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</si>
  <si>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</si>
  <si>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</si>
  <si>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</si>
  <si>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</si>
  <si>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</si>
  <si>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</si>
  <si>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</si>
  <si>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</si>
  <si>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</si>
  <si>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</si>
  <si>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</si>
  <si>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</si>
  <si>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</si>
  <si>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</si>
  <si>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</si>
  <si>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</si>
  <si>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</si>
  <si>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</si>
  <si>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</si>
  <si>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</si>
  <si>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</si>
  <si>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</si>
  <si>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</si>
  <si>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</si>
  <si>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</si>
  <si>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</si>
  <si>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</si>
  <si>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</si>
  <si>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</si>
  <si>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</si>
  <si>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</si>
  <si>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</si>
  <si>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</si>
  <si>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</si>
  <si>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</si>
  <si>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</si>
  <si>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</si>
  <si>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</si>
  <si>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</si>
  <si>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</si>
  <si>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</si>
  <si>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</si>
  <si>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</si>
  <si>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</si>
  <si>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</si>
  <si>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</si>
  <si>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</si>
  <si>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</si>
  <si>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</si>
  <si>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</si>
  <si>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</si>
  <si>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</si>
  <si>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</si>
  <si>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</si>
  <si>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</si>
  <si>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</si>
  <si>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</si>
  <si>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</si>
  <si>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</si>
  <si>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</si>
  <si>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</si>
  <si>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</si>
  <si>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</si>
  <si>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</si>
  <si>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</si>
  <si>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</si>
  <si>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</si>
  <si>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</si>
  <si>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</si>
  <si>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</si>
  <si>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</si>
  <si>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</si>
  <si>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</si>
  <si>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</si>
  <si>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</si>
  <si>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</si>
  <si>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</si>
  <si>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</si>
  <si>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</si>
  <si>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</si>
  <si>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</si>
  <si>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</si>
  <si>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</si>
  <si>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</si>
  <si>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</si>
  <si>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</si>
  <si>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</si>
  <si>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</si>
  <si>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</si>
  <si>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</si>
  <si>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</si>
  <si>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</si>
  <si>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</si>
  <si>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</si>
  <si>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</si>
  <si>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</si>
  <si>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</si>
  <si>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</si>
  <si>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</si>
  <si>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</si>
  <si>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</si>
  <si>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</si>
  <si>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</si>
  <si>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</si>
  <si>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</si>
  <si>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</si>
  <si>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</si>
  <si>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</si>
  <si>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</si>
  <si>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</si>
  <si>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</si>
  <si>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</si>
  <si>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</si>
  <si>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</si>
  <si>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</si>
  <si>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</si>
  <si>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</si>
  <si>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</si>
  <si>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</si>
  <si>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</si>
  <si>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</si>
  <si>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</si>
  <si>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</si>
  <si>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</si>
  <si>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</si>
  <si>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</si>
  <si>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</si>
  <si>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</si>
  <si>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</si>
  <si>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</si>
  <si>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</si>
  <si>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</si>
  <si>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</si>
  <si>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</si>
  <si>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</si>
  <si>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</si>
  <si>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</si>
  <si>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</si>
  <si>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</si>
  <si>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</si>
  <si>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</si>
  <si>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</si>
  <si>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</si>
  <si>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</si>
  <si>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</si>
  <si>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</si>
  <si>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</si>
  <si>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</si>
  <si>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</si>
  <si>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</si>
  <si>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</si>
  <si>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</si>
  <si>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</si>
  <si>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</si>
  <si>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</si>
  <si>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</si>
  <si>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</si>
  <si>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</si>
  <si>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</si>
  <si>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</si>
  <si>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</si>
  <si>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</si>
  <si>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</si>
  <si>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</si>
  <si>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</si>
  <si>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</si>
  <si>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</si>
  <si>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</si>
  <si>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</si>
  <si>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</si>
  <si>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</si>
  <si>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</si>
  <si>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</si>
  <si>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</si>
  <si>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</si>
  <si>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</si>
  <si>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</si>
  <si>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B5:B39</t>
  </si>
  <si>
    <t>C5:C39</t>
  </si>
  <si>
    <t>D5:D39</t>
  </si>
  <si>
    <t>E5:E39</t>
  </si>
  <si>
    <t>F5:F39</t>
  </si>
  <si>
    <t>G5:G39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</si>
  <si>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</si>
  <si>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</si>
  <si>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</si>
  <si>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</si>
  <si>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</si>
  <si>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</si>
  <si>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</si>
  <si>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</si>
  <si>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</si>
  <si>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</si>
  <si>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</si>
  <si>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</si>
  <si>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</si>
  <si>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</si>
  <si>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</si>
  <si>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</si>
  <si>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</si>
  <si>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</si>
  <si>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</si>
  <si>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</si>
  <si>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</si>
  <si>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</si>
  <si>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</si>
  <si>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</si>
  <si>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</si>
  <si>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</si>
  <si>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</si>
  <si>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</si>
  <si>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</si>
  <si>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</si>
  <si>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Nurse room</t>
  </si>
  <si>
    <t>Furniture, Hardware, Gardening Store</t>
  </si>
  <si>
    <t>Presentation room</t>
  </si>
  <si>
    <t>Living Room, Bedroom</t>
  </si>
  <si>
    <t>Bitte beachten Sie die beim Anklicken der Eingabefelder erscheinenden Hilfstexte.</t>
  </si>
  <si>
    <t>Bei Fragen zu Zertifizierungsobjekten steht Ihnen die zuständige Zertifizierungsstelle gerne zur Verfügung.</t>
  </si>
  <si>
    <t>Errore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</si>
  <si>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</si>
  <si>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</si>
  <si>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</si>
  <si>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</si>
  <si>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</si>
  <si>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</si>
  <si>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</si>
  <si>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</si>
  <si>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</si>
  <si>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</si>
  <si>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</si>
  <si>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</si>
  <si>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</si>
  <si>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</si>
  <si>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</si>
  <si>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</si>
  <si>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</si>
  <si>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</si>
  <si>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</si>
  <si>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</si>
  <si>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</si>
  <si>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</si>
  <si>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</si>
  <si>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</si>
  <si>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</si>
  <si>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</si>
  <si>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</si>
  <si>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</si>
  <si>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</si>
  <si>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</si>
  <si>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</si>
  <si>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</si>
  <si>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</si>
  <si>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</si>
  <si>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</si>
  <si>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</si>
  <si>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</si>
  <si>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</si>
  <si>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</si>
  <si>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</si>
  <si>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</si>
  <si>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</si>
  <si>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</si>
  <si>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</si>
  <si>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</si>
  <si>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</si>
  <si>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</si>
  <si>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</si>
  <si>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</si>
  <si>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</si>
  <si>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</si>
  <si>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</si>
  <si>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</si>
  <si>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</si>
  <si>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</si>
  <si>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</si>
  <si>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</si>
  <si>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</si>
  <si>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</si>
  <si>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</si>
  <si>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</si>
  <si>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</si>
  <si>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</si>
  <si>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</si>
  <si>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</si>
  <si>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Designazione locale
-</t>
  </si>
  <si>
    <t>Room description
-</t>
  </si>
  <si>
    <t>Superfi-cie
m2</t>
  </si>
  <si>
    <t>Nr.
-</t>
  </si>
  <si>
    <t>Utilizzo
-</t>
  </si>
  <si>
    <t>Riflessi-one
-</t>
  </si>
  <si>
    <t>Si prega di leggere gli aiuti che appaiono quando si clicca su un camp di immissione.</t>
  </si>
  <si>
    <t>Se avete domande sugli oggetti di certificazione, contattate il centro di certificazione competente.</t>
  </si>
  <si>
    <t>Please consider the help texts which appear as soon as you click on a cell.</t>
  </si>
  <si>
    <t>If you have questions on certified objects, don't hesitate to ask the staff of the certification offices.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</si>
  <si>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</si>
  <si>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</si>
  <si>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</si>
  <si>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</si>
  <si>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</si>
  <si>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</si>
  <si>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</si>
  <si>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</si>
  <si>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</si>
  <si>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</si>
  <si>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</si>
  <si>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</si>
  <si>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</si>
  <si>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</si>
  <si>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</si>
  <si>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</si>
  <si>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</si>
  <si>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</si>
  <si>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</si>
  <si>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</si>
  <si>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</si>
  <si>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</si>
  <si>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</si>
  <si>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</si>
  <si>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</si>
  <si>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</si>
  <si>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</si>
  <si>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</si>
  <si>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</si>
  <si>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</si>
  <si>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</si>
  <si>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</si>
  <si>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Des textes d'aide apparaissent lorsque vous cliquez sur les zones de saisie.</t>
  </si>
  <si>
    <t>Erreur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</si>
  <si>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</si>
  <si>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</si>
  <si>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</si>
  <si>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</si>
  <si>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</si>
  <si>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</si>
  <si>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</si>
  <si>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</si>
  <si>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</si>
  <si>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</si>
  <si>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</si>
  <si>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</si>
  <si>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</si>
  <si>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</si>
  <si>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</si>
  <si>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</si>
  <si>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</si>
  <si>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</si>
  <si>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</si>
  <si>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</si>
  <si>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</si>
  <si>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</si>
  <si>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</si>
  <si>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</si>
  <si>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</si>
  <si>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</si>
  <si>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</si>
  <si>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</si>
  <si>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</si>
  <si>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</si>
  <si>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</si>
  <si>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</si>
  <si>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</si>
  <si>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</si>
  <si>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</si>
  <si>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</si>
  <si>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</si>
  <si>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</si>
  <si>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</si>
  <si>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</si>
  <si>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</si>
  <si>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</si>
  <si>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</si>
  <si>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</si>
  <si>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</si>
  <si>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</si>
  <si>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</si>
  <si>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</si>
  <si>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</si>
  <si>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</si>
  <si>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</si>
  <si>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</si>
  <si>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</si>
  <si>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</si>
  <si>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</si>
  <si>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</si>
  <si>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</si>
  <si>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</si>
  <si>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</si>
  <si>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</si>
  <si>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</si>
  <si>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</si>
  <si>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</si>
  <si>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</si>
  <si>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</si>
  <si>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</si>
  <si>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</si>
  <si>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</si>
  <si>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</si>
  <si>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</si>
  <si>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</si>
  <si>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</si>
  <si>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</si>
  <si>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</si>
  <si>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</si>
  <si>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</si>
  <si>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</si>
  <si>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</si>
  <si>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</si>
  <si>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</si>
  <si>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</si>
  <si>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</si>
  <si>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</si>
  <si>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</si>
  <si>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</si>
  <si>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</si>
  <si>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</si>
  <si>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</si>
  <si>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</si>
  <si>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Non sono previsti nuovi elementi che ombreggiano la facciata (es. balconi, gronde, sporgenze…) ?</t>
  </si>
  <si>
    <t>well fulfilled</t>
  </si>
  <si>
    <t>fulfilled</t>
  </si>
  <si>
    <t>not met</t>
  </si>
  <si>
    <t>Questionnaire_rénovation</t>
  </si>
  <si>
    <t>Questionario_ammodernamento</t>
  </si>
  <si>
    <t>Questionaire_renovations</t>
  </si>
  <si>
    <t>Dayl. auton.
%</t>
  </si>
  <si>
    <t>Fenster-breite ges. 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</si>
  <si>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</si>
  <si>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</si>
  <si>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</si>
  <si>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</si>
  <si>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</si>
  <si>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</si>
  <si>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</si>
  <si>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</si>
  <si>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</si>
  <si>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</si>
  <si>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</si>
  <si>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</si>
  <si>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</si>
  <si>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</si>
  <si>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</si>
  <si>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</si>
  <si>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</si>
  <si>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</si>
  <si>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</si>
  <si>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</si>
  <si>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</si>
  <si>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</si>
  <si>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</si>
  <si>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</si>
  <si>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</si>
  <si>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</si>
  <si>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</si>
  <si>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</si>
  <si>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</si>
  <si>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</si>
  <si>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</si>
  <si>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</si>
  <si>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</si>
  <si>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</si>
  <si>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</si>
  <si>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</si>
  <si>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</si>
  <si>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</si>
  <si>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</si>
  <si>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</si>
  <si>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</si>
  <si>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</si>
  <si>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</si>
  <si>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</si>
  <si>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Visual range</t>
  </si>
  <si>
    <t>Raggio visivo</t>
  </si>
  <si>
    <t>Raggio visivo
m</t>
  </si>
  <si>
    <t>Visual range
m</t>
  </si>
  <si>
    <t>Livelli di visione
-</t>
  </si>
  <si>
    <t>Viewing levels
-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</si>
  <si>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</si>
  <si>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</si>
  <si>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</si>
  <si>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</si>
  <si>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</si>
  <si>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</si>
  <si>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</si>
  <si>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</si>
  <si>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</si>
  <si>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</si>
  <si>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</si>
  <si>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</si>
  <si>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</si>
  <si>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</si>
  <si>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</si>
  <si>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</si>
  <si>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</si>
  <si>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</si>
  <si>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</si>
  <si>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</si>
  <si>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</si>
  <si>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</si>
  <si>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</si>
  <si>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</si>
  <si>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</si>
  <si>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</si>
  <si>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</si>
  <si>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</si>
  <si>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</t>
  </si>
  <si>
    <t>Livelli di visione</t>
  </si>
  <si>
    <t>Viewing levels</t>
  </si>
  <si>
    <t>Enter the distance to the next object (measured from the facade).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</si>
  <si>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</si>
  <si>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</si>
  <si>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</si>
  <si>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</si>
  <si>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</si>
  <si>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</si>
  <si>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</si>
  <si>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</si>
  <si>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</si>
  <si>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Riassunto illuminazione naturale</t>
  </si>
  <si>
    <t>Overview Daylight</t>
  </si>
  <si>
    <t>Ausblick</t>
  </si>
  <si>
    <t>Views</t>
  </si>
  <si>
    <t>Vues</t>
  </si>
  <si>
    <t>Prospettive</t>
  </si>
  <si>
    <t>A49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</si>
  <si>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</si>
  <si>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</si>
  <si>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</si>
  <si>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</si>
  <si>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</si>
  <si>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</si>
  <si>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</si>
  <si>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</si>
  <si>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</si>
  <si>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</si>
  <si>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</si>
  <si>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Ausblick ergänzt, Versionierung ergänzt</t>
  </si>
  <si>
    <t>D1</t>
  </si>
  <si>
    <t>A55</t>
  </si>
  <si>
    <t>Riassunto prospettive</t>
  </si>
  <si>
    <t>Overview views</t>
  </si>
  <si>
    <t>Profond. de la surface utilisée</t>
  </si>
  <si>
    <t>Ergänzungen Raumnutzungen unter Terrain, Korrektur Fehler Blatt Fenster</t>
  </si>
  <si>
    <t>Kein Sonnenschutz</t>
  </si>
  <si>
    <t>Pas de protection solaire</t>
  </si>
  <si>
    <t>Nessuna protezione solare</t>
  </si>
  <si>
    <t>No solar protection</t>
  </si>
  <si>
    <t>Auswahl SoSchu ergänzt, Gültigkeitsdatum, FK_Sanierung Transmissionswert ergänzt, Version nachgeführt</t>
  </si>
  <si>
    <t>Geben Sie den Wert für den Tageslicht-Transmissiongrad des Glases ein. 
Achtung: bei vor dem Fenster angeordneten Gläsern (Kastenfenster, Doppelfassaden etc.) ist der Tau-Wert der Verglasungen zu multiplizieren.</t>
  </si>
  <si>
    <t>Wurde bei der Wahl der Verglasung auf einen hohen Tageslicht-Transmissionsgrad (Tau ≥ 70%) geachtet?</t>
  </si>
  <si>
    <t>Il vetro scelto posside un elevato fattore di trasmissione della luce diurna (Coeff. luminosità ≥ 70%)?</t>
  </si>
  <si>
    <t>Ergänzungen Raumnutzungen unter Terrain</t>
  </si>
  <si>
    <t>Turnhalle (oberirdisch)</t>
  </si>
  <si>
    <t>Turnhalle (unterirdisch)</t>
  </si>
  <si>
    <t>Salle de gymnastique (en surface)</t>
  </si>
  <si>
    <t>Palestra (fuori terra)</t>
  </si>
  <si>
    <t>Gymnasium (above ground)</t>
  </si>
  <si>
    <t>Salle de gymnastique (souterrain)</t>
  </si>
  <si>
    <t>Palestra (sotto terreno)</t>
  </si>
  <si>
    <t>Gymnasium (under ground)</t>
  </si>
  <si>
    <t>Schwimmhalle (oberirdisch)</t>
  </si>
  <si>
    <t>Piscine couverte (en surface)</t>
  </si>
  <si>
    <t>Piscina (fuori terra)</t>
  </si>
  <si>
    <t>Indoor Swimming Pool (above ground)</t>
  </si>
  <si>
    <t>Schwimmhalle (unterirdisch)</t>
  </si>
  <si>
    <t>Piscine couverte (souterrain)</t>
  </si>
  <si>
    <t>Piscina (sotto terreno)</t>
  </si>
  <si>
    <t>Indoor Swimming Pool (under ground)</t>
  </si>
  <si>
    <t>BM</t>
  </si>
  <si>
    <t>Tageslicht-Tool ECO</t>
  </si>
  <si>
    <t>Outil de lumière du jour ECO</t>
  </si>
  <si>
    <t>Strumento per l'illuminazione naturale ECO</t>
  </si>
  <si>
    <t>Daylight-Tool ECO</t>
  </si>
  <si>
    <t>Auteur du justificatif</t>
  </si>
  <si>
    <t>Récapitulation des résultats pour la lumière du jour</t>
  </si>
  <si>
    <t>Surface totale de tous les locaux saisis</t>
  </si>
  <si>
    <t>Récapitulation des résultats pour les vues</t>
  </si>
  <si>
    <t xml:space="preserve">Un manuel détaillé est disponible sur le site internet de Minergie.   </t>
  </si>
  <si>
    <t xml:space="preserve">Istruzioni dettagliate possono essere trovate sul sito web Minergie.  </t>
  </si>
  <si>
    <t xml:space="preserve">Detailed instructions are available on the Minergie website.  </t>
  </si>
  <si>
    <t>Si vous avez des questions concernant la certification, veuillez contacter l'office de certification responsable.</t>
  </si>
  <si>
    <t>Formale Anpassungen (Erneuerung anstatt Modernisierung, Version 2023-1 anstatt 2.12, Passwort: 2023).</t>
  </si>
  <si>
    <t>Korrektur der französischen Texte (Übersetzerin: Anna Piguet).</t>
  </si>
  <si>
    <t>SLE</t>
  </si>
  <si>
    <t>Eingabe- und Fehlermeldungen einheitlich auf Deutsch (Vorschlag: Als nächsten Schritt dreisprachige Meldungen).</t>
  </si>
  <si>
    <t>Données des fenêtres</t>
  </si>
  <si>
    <t>Dénomination
-</t>
  </si>
  <si>
    <t>Part vitrée
%</t>
  </si>
  <si>
    <t>Valeur Tau
%</t>
  </si>
  <si>
    <t>Protéction solaire et ombrage dû à l'horizon</t>
  </si>
  <si>
    <t>Commande
-</t>
  </si>
  <si>
    <t>Ombrage dû à l'horizon
-</t>
  </si>
  <si>
    <t>Dénomination du local
-</t>
  </si>
  <si>
    <t>Données du local</t>
  </si>
  <si>
    <t>Übertrag aus weiterem Nachw.</t>
  </si>
  <si>
    <t>Report d'un autre justificatif</t>
  </si>
  <si>
    <t>Riporto di un'altra prova</t>
  </si>
  <si>
    <t>Carryover from further proof</t>
  </si>
  <si>
    <t>Locaux types et vues</t>
  </si>
  <si>
    <t>Tiefe genutzter Bereich
m</t>
  </si>
  <si>
    <t>Profondeur de la zone utilisée
m</t>
  </si>
  <si>
    <t>Profondeur de la vue
m</t>
  </si>
  <si>
    <t>Eléments visibles
-</t>
  </si>
  <si>
    <t>Résultats globaux</t>
  </si>
  <si>
    <t>Qualité des vues (sur l'ensemble des locaux)</t>
  </si>
  <si>
    <t>Fragenkatalog Erneuerung</t>
  </si>
  <si>
    <t>Questionnaire rénovation</t>
  </si>
  <si>
    <t>Questionnaire renovation</t>
  </si>
  <si>
    <t>Les ouvertures des fenêtres sont-elles maintenues ou augmentées ?</t>
  </si>
  <si>
    <t>Les surfaces de vitrage sont-elles maintenues ou augmentées ?</t>
  </si>
  <si>
    <t>A-t-on prêté attention, lors du choix du vitrage, à une valeur de transmission lumineuse élevée (Tau ≥ 70%) ?</t>
  </si>
  <si>
    <t>Pas d'éléments (p.ex, les balcons, les avant-toits) construits sur la façade qui diminuent la lumière du jour ?</t>
  </si>
  <si>
    <t xml:space="preserve">Les pièces (au moins les plafonds et les murs) ont-elles été peintes principalement avec des couleurs claires ? </t>
  </si>
  <si>
    <t>DIESES ARBEITSBLATT IST NUR BEI ERNEUERUNGSPROJEKTEN AUSZUFÜLLEN</t>
  </si>
  <si>
    <t>Bitte füllen Sie das Arbeitsblatt 'Tageslicht' für den Zustand nach der Erneuerung aus und bestimmen sie eine Gebäudekategorie die ihrem Gebäude am nächsten kommt:</t>
  </si>
  <si>
    <t>Veuillez remplir la feuille 'Lumière du jour' pour l'état après rénovation et déterminer la catégorie de bâtiment qui correspond le mieux à votre projet :</t>
  </si>
  <si>
    <t>Il requisito Minergie-ECO per ammodernamenti non é rispettato,  è necessario effettuare calcoli piu dettagliati (compilare il foglio calcolo illuminazione naturale).</t>
  </si>
  <si>
    <t>The requirements of Minergie-ECO are not respected. A detailed calculation is mandatory.</t>
  </si>
  <si>
    <t>Bâtiments avec une proportion moyenne de fenêtres</t>
  </si>
  <si>
    <t>Motorisé, automatique et à réglage des lamelles</t>
  </si>
  <si>
    <t>Vue dégagée, pas ou peu d'ombrage dû à l'horizon</t>
  </si>
  <si>
    <t>Ombrage moyen dû à l'horizon, angle d'obstruction entre 15° et 35°</t>
  </si>
  <si>
    <t>Emplacement en ville, ombrage important dû à l'horizon</t>
  </si>
  <si>
    <t>Sigle</t>
  </si>
  <si>
    <t>Abbreviazione</t>
  </si>
  <si>
    <t>Abbreviation</t>
  </si>
  <si>
    <t>Profondeur de la vue</t>
  </si>
  <si>
    <t>Saisissez la distance jusqu'à l'objet le plus proche (mesurée à partir de la façade).</t>
  </si>
  <si>
    <t>Eingabe einer Kurzbezeichnung (max. 4 Zeichen).</t>
  </si>
  <si>
    <t>Sie dürfen maximal 4 Zeichen eingeben.</t>
  </si>
  <si>
    <t>Vous pouvez saisir 4 caractères au maximum.</t>
  </si>
  <si>
    <t>Saisie d'une désignation courte (max. 4 caractères).</t>
  </si>
  <si>
    <t>Inserire una denominazione breve (max. 4 caratteri).</t>
  </si>
  <si>
    <t>È possibile inserire un massimo di 4 caratteri.</t>
  </si>
  <si>
    <t>Enter a short description (max. 4 characters).</t>
  </si>
  <si>
    <t>You may enter a maximum of 4 characters.</t>
  </si>
  <si>
    <t>Zu verwenden bis 31.12.2026</t>
  </si>
  <si>
    <t>A utiliser jusqu'à 31.12.2026</t>
  </si>
  <si>
    <t>To be used until 31.12.2026</t>
  </si>
  <si>
    <t>Erneuerung</t>
  </si>
  <si>
    <t>Die Anforderungen des Zusatzes ECO sind</t>
  </si>
  <si>
    <t>Les exigences du complément ECO</t>
  </si>
  <si>
    <t>Le esigenze del complemento ECO</t>
  </si>
  <si>
    <t>The requirements of the ECO add-on are</t>
  </si>
  <si>
    <t>Builder</t>
  </si>
  <si>
    <t>Construction nouvelle</t>
  </si>
  <si>
    <t>A56</t>
  </si>
  <si>
    <t>A41</t>
  </si>
  <si>
    <t>Salle des maîtres/ lieu de séjour</t>
  </si>
  <si>
    <t>Fragenkatalog_Erneuerung</t>
  </si>
  <si>
    <t>Tabelle Fragenkatalog Erneuerung</t>
  </si>
  <si>
    <t>Bewertungsskala Erneuerung</t>
  </si>
  <si>
    <t>A58</t>
  </si>
  <si>
    <t>A57</t>
  </si>
  <si>
    <t>Schulen</t>
  </si>
  <si>
    <r>
      <t xml:space="preserve">Überarbeitung, u. a. Korrektur Sonnenschutz; Integration temp. Ausnahmeregelung für Schulen (Erfüllung: </t>
    </r>
    <r>
      <rPr>
        <sz val="9"/>
        <rFont val="Calibri"/>
        <family val="2"/>
      </rPr>
      <t>≥</t>
    </r>
    <r>
      <rPr>
        <sz val="9"/>
        <rFont val="Arial"/>
        <family val="2"/>
      </rPr>
      <t xml:space="preserve"> 40 %).</t>
    </r>
  </si>
  <si>
    <t>hoch</t>
  </si>
  <si>
    <t>mittel</t>
  </si>
  <si>
    <t>ungenügend</t>
  </si>
  <si>
    <t>haut</t>
  </si>
  <si>
    <t>moyenne</t>
  </si>
  <si>
    <t>insuffisant</t>
  </si>
  <si>
    <t>alto</t>
  </si>
  <si>
    <t>media</t>
  </si>
  <si>
    <t>minimo</t>
  </si>
  <si>
    <t>insufficiente</t>
  </si>
  <si>
    <t>insufficient</t>
  </si>
  <si>
    <t>high</t>
  </si>
  <si>
    <t>medium</t>
  </si>
  <si>
    <t>Da utilizzare fino al 31.12.2026</t>
  </si>
  <si>
    <t>Bauvorhaben</t>
  </si>
  <si>
    <t>Progetto edilizio</t>
  </si>
  <si>
    <t>Projet de construction</t>
  </si>
  <si>
    <t>Building project</t>
  </si>
  <si>
    <t>Nutzung</t>
  </si>
  <si>
    <t>Utilisation</t>
  </si>
  <si>
    <t>Utilizzazione</t>
  </si>
  <si>
    <t>Use</t>
  </si>
  <si>
    <t>A33</t>
  </si>
  <si>
    <t xml:space="preserve">Integration von Nutzungen bzw. Gebäudekat. analog SIA und Minergie zwecks nutzungsspezifischer Resultate (Schule) </t>
  </si>
  <si>
    <t>A50</t>
  </si>
  <si>
    <t>Wohnen MFH</t>
  </si>
  <si>
    <t>Wohnen EFH</t>
  </si>
  <si>
    <t>Verkauf</t>
  </si>
  <si>
    <t>Industrie</t>
  </si>
  <si>
    <t>Lager</t>
  </si>
  <si>
    <t>Sportbauten</t>
  </si>
  <si>
    <t>Habitat collectif</t>
  </si>
  <si>
    <t>Habitat individuel</t>
  </si>
  <si>
    <t>Écoles</t>
  </si>
  <si>
    <t>Commerce</t>
  </si>
  <si>
    <t>Restauration</t>
  </si>
  <si>
    <t>Lieux de rassemblement</t>
  </si>
  <si>
    <t>Hôpitaux</t>
  </si>
  <si>
    <t>Installations sportives</t>
  </si>
  <si>
    <t>Piscines couvertes</t>
  </si>
  <si>
    <t>Dépôts</t>
  </si>
  <si>
    <t>Restaurants</t>
  </si>
  <si>
    <t>Versammlungslokale</t>
  </si>
  <si>
    <t>Spitäler</t>
  </si>
  <si>
    <t>Hallenbäder</t>
  </si>
  <si>
    <t>Abitazioni plurifamiliari</t>
  </si>
  <si>
    <t>Abitazioni monofamiliari</t>
  </si>
  <si>
    <t>Amministrazione</t>
  </si>
  <si>
    <t>Scuole</t>
  </si>
  <si>
    <t>Negozi</t>
  </si>
  <si>
    <t>Ristoranti</t>
  </si>
  <si>
    <t>Locali pubblici</t>
  </si>
  <si>
    <t>Ospedali</t>
  </si>
  <si>
    <t>Magazzini</t>
  </si>
  <si>
    <t>Impianti sportivi</t>
  </si>
  <si>
    <t>Piscine coperte</t>
  </si>
  <si>
    <t>Apartment building</t>
  </si>
  <si>
    <t>Single-family house</t>
  </si>
  <si>
    <t>Schools</t>
  </si>
  <si>
    <t>Retail</t>
  </si>
  <si>
    <t>Assembly halls</t>
  </si>
  <si>
    <t>Hospitals</t>
  </si>
  <si>
    <t>Industry</t>
  </si>
  <si>
    <t>Warehouses</t>
  </si>
  <si>
    <t>Sports buildings</t>
  </si>
  <si>
    <t>Indoor swimming pools</t>
  </si>
  <si>
    <t>Label-Plattform: wenn erfüllt mind. 50% übertragen.</t>
  </si>
  <si>
    <t>Piattaforma dei label: se sodisfatto min. 50% trasferito.</t>
  </si>
  <si>
    <t>Plateforme des labels : si rempli min. 50% transféré.</t>
  </si>
  <si>
    <t>Label-platform: if fulfilled transfer min. 50%.</t>
  </si>
  <si>
    <t>Achtung: Im Blatt Fenster muss Zelle B5 über einen Wert verfügen, damit Visual Basic läuft!</t>
  </si>
  <si>
    <t>Ungen. Raumfl.</t>
  </si>
  <si>
    <t>Mindesterf.</t>
  </si>
  <si>
    <t>Bonuserf.</t>
  </si>
  <si>
    <t>Total</t>
  </si>
  <si>
    <t>Dérogation pour les écoles : taux de l'autonomie en lumière naturelle d'au moins 40% (voir prescription 140.01 Lumière du jour).</t>
  </si>
  <si>
    <t>Esenzione per le scuole: un grado d'illuminazione naturale di almeno il 40% (vedi requisito 140.01 Illuminazione naturale).</t>
  </si>
  <si>
    <t>Ausnahmeregelung für Schulen: Tageslichterfüllungsgrad von mindestens 40% (siehe Vorgabe 140.01 Tageslicht).</t>
  </si>
  <si>
    <t>Ergebnis</t>
  </si>
  <si>
    <t>Punkte</t>
  </si>
  <si>
    <t>minimal</t>
  </si>
  <si>
    <t>minimale</t>
  </si>
  <si>
    <t>Renovationsfaktor</t>
  </si>
  <si>
    <t>Anteil der Raumfläche mit ungenügendem Ergebnis</t>
  </si>
  <si>
    <t>Part de surface avec un résultat insuffisant</t>
  </si>
  <si>
    <t>Quota di superficie con un risultato insufficiente</t>
  </si>
  <si>
    <t>Portion of floor area with insufficient daylight</t>
  </si>
  <si>
    <t>Tageslicht-Erfüllungsgrad über alle Räume</t>
  </si>
  <si>
    <t>Degré total d'autonomie en lumière du jour sur l'ensemble des locaux</t>
  </si>
  <si>
    <t>Quota d'illuminazione naturale</t>
  </si>
  <si>
    <t>Portion of daylight autonomy</t>
  </si>
  <si>
    <t>F01</t>
  </si>
  <si>
    <t>Schulen (Ausnahmeregelung)</t>
  </si>
  <si>
    <t>Écoles (dérogation)</t>
  </si>
  <si>
    <t>Scuole (esenzione)</t>
  </si>
  <si>
    <t>Schools (exemption)</t>
  </si>
  <si>
    <t>Exemption for schools: daylight autonomy of at least 40% (see requirement 140.1 Daylight).</t>
  </si>
  <si>
    <t>A14</t>
  </si>
  <si>
    <t>A26</t>
  </si>
  <si>
    <t>A29</t>
  </si>
  <si>
    <t>A20</t>
  </si>
  <si>
    <t>A31</t>
  </si>
  <si>
    <t>A34</t>
  </si>
  <si>
    <t>A37</t>
  </si>
  <si>
    <t>D31</t>
  </si>
  <si>
    <t>A59</t>
  </si>
  <si>
    <t>A47</t>
  </si>
  <si>
    <t>D47</t>
  </si>
  <si>
    <t>A39</t>
  </si>
  <si>
    <t>A42</t>
  </si>
  <si>
    <t>A45</t>
  </si>
  <si>
    <t>B12</t>
  </si>
  <si>
    <t>Wählen Sie die Nutzung mit dem grössten Flächenanteil.</t>
  </si>
  <si>
    <t>Select the use with the largest area share.</t>
  </si>
  <si>
    <t>Choisissez l'utilisation qui représente la plus grande surface.</t>
  </si>
  <si>
    <t>Selezionare l'utilizzazione con la quota di superficie maggiore.</t>
  </si>
  <si>
    <t>Erfassen Sie zuerst die Objektdaten im Blatt 'Überblick'.</t>
  </si>
  <si>
    <t>Saisissez d'abord les données du projet dans l'onglet 'Résumé'.</t>
  </si>
  <si>
    <t>Immettere prima i dati dell’oggetto nella scheda 'Riassunto'.</t>
  </si>
  <si>
    <t>First, fill out the fileds for the object data in the sheet 'Overview'.</t>
  </si>
  <si>
    <t>Die Anforderungen des Zusatzes ECO an Erneuerungen sind erfüllt. Es wird automatisch ein Tageslichterfüllungsgrad von 50% angenommen (genügend).</t>
  </si>
  <si>
    <t>Les exigences du complément ECO pour la rénovation sont remplies. Il est considéré automatiquement un degré de réalisation de lumière du jour de 50% (suffisant).</t>
  </si>
  <si>
    <t>Le esigenze del complemento ECO per ammodernamenti é automaticamente rispettato con un valore di rispetto pari al 50% (sufficiente), non è necessario effettuare calcoli piu dettagliati.</t>
  </si>
  <si>
    <t>The requirements of the ECO add-on for renovations are automatically respected with a daylight value of 50%. A more detailed calculation is not necessary.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</si>
</sst>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44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  <font>
      <b/>
      <sz val="9"/>
      <color theme="5"/>
      <name val="Arial"/>
      <family val="2"/>
    </font>
    <font>
      <sz val="10"/>
      <color rgb="FF00B050"/>
      <name val="Arial"/>
      <family val="2"/>
    </font>
    <font>
      <sz val="9"/>
      <name val="Calibri"/>
      <family val="2"/>
    </font>
    <font>
      <sz val="10"/>
      <color rgb="FF7030A0"/>
      <name val="Arial"/>
      <family val="2"/>
    </font>
    <font>
      <b/>
      <sz val="9"/>
      <color rgb="FF7030A0"/>
      <name val="Arial"/>
      <family val="2"/>
    </font>
    <font>
      <sz val="9"/>
      <color rgb="FF7030A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11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9" fillId="0" borderId="0" xfId="0" applyNumberFormat="1" applyFont="1" applyAlignment="1" applyProtection="1">
      <alignment horizontal="center" vertical="center"/>
      <protection hidden="1"/>
    </xf>
    <xf numFmtId="168" fontId="9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8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Protection="1">
      <protection hidden="1"/>
    </xf>
    <xf numFmtId="9" fontId="11" fillId="0" borderId="0" xfId="0" applyNumberFormat="1" applyFont="1"/>
    <xf numFmtId="9" fontId="6" fillId="0" borderId="0" xfId="0" applyNumberFormat="1" applyFont="1" applyAlignment="1" applyProtection="1">
      <alignment vertical="center" wrapText="1"/>
      <protection hidden="1"/>
    </xf>
    <xf numFmtId="9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>
      <alignment vertical="center"/>
    </xf>
    <xf numFmtId="9" fontId="21" fillId="0" borderId="0" xfId="0" applyNumberFormat="1" applyFont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Alignment="1" applyProtection="1">
      <alignment vertical="top" wrapText="1"/>
      <protection hidden="1"/>
    </xf>
    <xf numFmtId="0" fontId="6" fillId="0" borderId="0" xfId="5" applyFont="1" applyProtection="1">
      <protection hidden="1"/>
    </xf>
    <xf numFmtId="0" fontId="8" fillId="0" borderId="0" xfId="5"/>
    <xf numFmtId="0" fontId="6" fillId="0" borderId="0" xfId="5" applyFont="1"/>
    <xf numFmtId="0" fontId="7" fillId="0" borderId="0" xfId="5" applyFont="1"/>
    <xf numFmtId="0" fontId="28" fillId="4" borderId="0" xfId="5" applyFont="1" applyFill="1"/>
    <xf numFmtId="0" fontId="28" fillId="4" borderId="0" xfId="5" applyFont="1" applyFill="1" applyAlignment="1">
      <alignment vertical="center"/>
    </xf>
    <xf numFmtId="0" fontId="31" fillId="4" borderId="0" xfId="0" applyFont="1" applyFill="1" applyProtection="1"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/>
    <xf numFmtId="0" fontId="28" fillId="4" borderId="3" xfId="5" applyFont="1" applyFill="1" applyBorder="1" applyAlignment="1">
      <alignment horizontal="center" wrapText="1"/>
    </xf>
    <xf numFmtId="0" fontId="8" fillId="6" borderId="4" xfId="5" applyFill="1" applyBorder="1"/>
    <xf numFmtId="2" fontId="6" fillId="6" borderId="4" xfId="5" applyNumberFormat="1" applyFont="1" applyFill="1" applyBorder="1" applyAlignment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>
      <alignment horizontal="center"/>
    </xf>
    <xf numFmtId="165" fontId="6" fillId="6" borderId="4" xfId="5" applyNumberFormat="1" applyFont="1" applyFill="1" applyBorder="1" applyAlignment="1">
      <alignment horizontal="center"/>
    </xf>
    <xf numFmtId="165" fontId="8" fillId="6" borderId="4" xfId="5" applyNumberFormat="1" applyFill="1" applyBorder="1" applyAlignment="1">
      <alignment horizontal="center"/>
    </xf>
    <xf numFmtId="9" fontId="6" fillId="6" borderId="4" xfId="0" applyNumberFormat="1" applyFont="1" applyFill="1" applyBorder="1" applyAlignment="1">
      <alignment horizontal="center" vertical="center"/>
    </xf>
    <xf numFmtId="0" fontId="6" fillId="7" borderId="4" xfId="5" applyFont="1" applyFill="1" applyBorder="1" applyProtection="1"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8" fillId="8" borderId="4" xfId="5" applyFill="1" applyBorder="1" applyProtection="1"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8" fillId="6" borderId="5" xfId="5" applyFill="1" applyBorder="1"/>
    <xf numFmtId="0" fontId="8" fillId="6" borderId="5" xfId="5" applyFill="1" applyBorder="1" applyAlignment="1">
      <alignment vertical="center"/>
    </xf>
    <xf numFmtId="0" fontId="6" fillId="6" borderId="6" xfId="5" applyFont="1" applyFill="1" applyBorder="1" applyAlignment="1">
      <alignment vertical="center"/>
    </xf>
    <xf numFmtId="0" fontId="32" fillId="4" borderId="0" xfId="0" applyFont="1" applyFill="1" applyAlignment="1" applyProtection="1">
      <alignment vertical="center"/>
      <protection hidden="1"/>
    </xf>
    <xf numFmtId="0" fontId="25" fillId="0" borderId="0" xfId="0" applyFont="1"/>
    <xf numFmtId="0" fontId="3" fillId="0" borderId="0" xfId="0" applyFont="1"/>
    <xf numFmtId="0" fontId="11" fillId="6" borderId="0" xfId="0" applyFont="1" applyFill="1"/>
    <xf numFmtId="0" fontId="33" fillId="4" borderId="0" xfId="0" applyFont="1" applyFill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vertical="center"/>
    </xf>
    <xf numFmtId="0" fontId="2" fillId="5" borderId="0" xfId="0" applyFont="1" applyFill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6" borderId="5" xfId="5" applyFont="1" applyFill="1" applyBorder="1" applyAlignment="1">
      <alignment vertical="center"/>
    </xf>
    <xf numFmtId="0" fontId="28" fillId="4" borderId="3" xfId="5" applyFont="1" applyFill="1" applyBorder="1" applyAlignment="1">
      <alignment horizontal="left" wrapText="1"/>
    </xf>
    <xf numFmtId="0" fontId="28" fillId="4" borderId="3" xfId="5" applyFont="1" applyFill="1" applyBorder="1" applyAlignment="1">
      <alignment wrapText="1"/>
    </xf>
    <xf numFmtId="165" fontId="8" fillId="6" borderId="10" xfId="5" applyNumberFormat="1" applyFill="1" applyBorder="1" applyAlignment="1">
      <alignment vertical="center"/>
    </xf>
    <xf numFmtId="165" fontId="8" fillId="6" borderId="11" xfId="5" applyNumberFormat="1" applyFill="1" applyBorder="1" applyAlignment="1">
      <alignment vertical="center"/>
    </xf>
    <xf numFmtId="0" fontId="6" fillId="6" borderId="12" xfId="5" applyFont="1" applyFill="1" applyBorder="1" applyAlignment="1">
      <alignment vertical="center"/>
    </xf>
    <xf numFmtId="0" fontId="6" fillId="6" borderId="13" xfId="5" applyFont="1" applyFill="1" applyBorder="1" applyAlignment="1">
      <alignment vertical="center"/>
    </xf>
    <xf numFmtId="165" fontId="6" fillId="6" borderId="5" xfId="5" applyNumberFormat="1" applyFont="1" applyFill="1" applyBorder="1" applyAlignment="1">
      <alignment vertical="center"/>
    </xf>
    <xf numFmtId="165" fontId="6" fillId="6" borderId="6" xfId="5" applyNumberFormat="1" applyFont="1" applyFill="1" applyBorder="1" applyAlignment="1">
      <alignment vertical="center"/>
    </xf>
    <xf numFmtId="0" fontId="28" fillId="4" borderId="14" xfId="5" applyFont="1" applyFill="1" applyBorder="1"/>
    <xf numFmtId="0" fontId="32" fillId="4" borderId="14" xfId="5" applyFont="1" applyFill="1" applyBorder="1" applyAlignment="1">
      <alignment vertical="center"/>
    </xf>
    <xf numFmtId="0" fontId="8" fillId="4" borderId="14" xfId="5" applyFill="1" applyBorder="1"/>
    <xf numFmtId="0" fontId="28" fillId="4" borderId="15" xfId="5" applyFont="1" applyFill="1" applyBorder="1"/>
    <xf numFmtId="0" fontId="8" fillId="4" borderId="15" xfId="5" applyFill="1" applyBorder="1"/>
    <xf numFmtId="0" fontId="6" fillId="6" borderId="11" xfId="5" applyFont="1" applyFill="1" applyBorder="1" applyAlignment="1">
      <alignment vertical="center"/>
    </xf>
    <xf numFmtId="1" fontId="8" fillId="6" borderId="10" xfId="5" applyNumberFormat="1" applyFill="1" applyBorder="1" applyAlignment="1">
      <alignment vertical="center"/>
    </xf>
    <xf numFmtId="1" fontId="8" fillId="6" borderId="11" xfId="5" applyNumberFormat="1" applyFill="1" applyBorder="1" applyAlignment="1">
      <alignment vertical="center"/>
    </xf>
    <xf numFmtId="0" fontId="8" fillId="5" borderId="0" xfId="5" applyFill="1"/>
    <xf numFmtId="0" fontId="7" fillId="5" borderId="0" xfId="5" applyFont="1" applyFill="1"/>
    <xf numFmtId="0" fontId="7" fillId="5" borderId="0" xfId="5" applyFont="1" applyFill="1" applyAlignment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Alignment="1">
      <alignment horizontal="center"/>
    </xf>
    <xf numFmtId="0" fontId="6" fillId="5" borderId="0" xfId="5" applyFont="1" applyFill="1"/>
    <xf numFmtId="0" fontId="8" fillId="0" borderId="0" xfId="5" applyAlignment="1">
      <alignment vertical="center"/>
    </xf>
    <xf numFmtId="0" fontId="7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0" fontId="25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Alignment="1" applyProtection="1">
      <alignment vertical="center"/>
      <protection hidden="1"/>
    </xf>
    <xf numFmtId="0" fontId="5" fillId="0" borderId="0" xfId="5" applyFont="1" applyProtection="1">
      <protection hidden="1"/>
    </xf>
    <xf numFmtId="0" fontId="10" fillId="0" borderId="0" xfId="0" applyFont="1"/>
    <xf numFmtId="0" fontId="10" fillId="5" borderId="0" xfId="0" applyFont="1" applyFill="1"/>
    <xf numFmtId="0" fontId="4" fillId="0" borderId="0" xfId="0" applyFont="1"/>
    <xf numFmtId="0" fontId="4" fillId="2" borderId="0" xfId="0" applyFont="1" applyFill="1"/>
    <xf numFmtId="0" fontId="4" fillId="5" borderId="0" xfId="0" applyFont="1" applyFill="1"/>
    <xf numFmtId="0" fontId="34" fillId="4" borderId="0" xfId="0" applyFont="1" applyFill="1" applyAlignment="1">
      <alignment vertical="center"/>
    </xf>
    <xf numFmtId="0" fontId="3" fillId="5" borderId="0" xfId="0" applyFont="1" applyFill="1"/>
    <xf numFmtId="0" fontId="4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67" fontId="7" fillId="5" borderId="0" xfId="0" applyNumberFormat="1" applyFont="1" applyFill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6" fillId="3" borderId="16" xfId="0" applyFont="1" applyFill="1" applyBorder="1" applyAlignment="1">
      <alignment horizontal="left" vertical="center"/>
    </xf>
    <xf numFmtId="165" fontId="6" fillId="3" borderId="16" xfId="0" applyNumberFormat="1" applyFont="1" applyFill="1" applyBorder="1" applyAlignment="1">
      <alignment horizontal="right" vertical="center"/>
    </xf>
    <xf numFmtId="0" fontId="6" fillId="3" borderId="6" xfId="0" applyFont="1" applyFill="1" applyBorder="1" applyAlignment="1">
      <alignment vertical="center"/>
    </xf>
    <xf numFmtId="165" fontId="6" fillId="3" borderId="6" xfId="0" applyNumberFormat="1" applyFont="1" applyFill="1" applyBorder="1" applyAlignment="1">
      <alignment vertical="center"/>
    </xf>
    <xf numFmtId="1" fontId="6" fillId="3" borderId="6" xfId="0" applyNumberFormat="1" applyFont="1" applyFill="1" applyBorder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28" fillId="0" borderId="0" xfId="0" applyFont="1"/>
    <xf numFmtId="0" fontId="28" fillId="4" borderId="15" xfId="0" applyFont="1" applyFill="1" applyBorder="1"/>
    <xf numFmtId="0" fontId="28" fillId="4" borderId="3" xfId="0" applyFont="1" applyFill="1" applyBorder="1" applyAlignment="1">
      <alignment wrapText="1"/>
    </xf>
    <xf numFmtId="0" fontId="28" fillId="4" borderId="3" xfId="0" applyFont="1" applyFill="1" applyBorder="1" applyAlignment="1">
      <alignment horizontal="center" wrapText="1"/>
    </xf>
    <xf numFmtId="0" fontId="6" fillId="6" borderId="17" xfId="0" applyFont="1" applyFill="1" applyBorder="1"/>
    <xf numFmtId="0" fontId="6" fillId="6" borderId="13" xfId="0" applyFont="1" applyFill="1" applyBorder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28" fillId="4" borderId="23" xfId="0" applyFont="1" applyFill="1" applyBorder="1" applyAlignment="1">
      <alignment wrapText="1"/>
    </xf>
    <xf numFmtId="1" fontId="6" fillId="6" borderId="10" xfId="5" applyNumberFormat="1" applyFont="1" applyFill="1" applyBorder="1" applyAlignment="1">
      <alignment vertical="center"/>
    </xf>
    <xf numFmtId="1" fontId="6" fillId="6" borderId="11" xfId="5" applyNumberFormat="1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Alignment="1">
      <alignment horizontal="center" vertical="center"/>
    </xf>
    <xf numFmtId="0" fontId="1" fillId="6" borderId="6" xfId="5" applyFont="1" applyFill="1" applyBorder="1"/>
    <xf numFmtId="0" fontId="1" fillId="6" borderId="6" xfId="5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32" fillId="4" borderId="25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28" fillId="4" borderId="29" xfId="5" applyFont="1" applyFill="1" applyBorder="1" applyAlignment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0" fontId="32" fillId="4" borderId="15" xfId="5" applyFont="1" applyFill="1" applyBorder="1" applyAlignment="1">
      <alignment vertical="center"/>
    </xf>
    <xf numFmtId="0" fontId="28" fillId="4" borderId="20" xfId="5" applyFont="1" applyFill="1" applyBorder="1" applyAlignment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>
      <alignment horizontal="center" vertical="center"/>
    </xf>
    <xf numFmtId="171" fontId="6" fillId="6" borderId="13" xfId="5" applyNumberFormat="1" applyFont="1" applyFill="1" applyBorder="1" applyAlignment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>
      <alignment horizontal="center" vertical="center"/>
    </xf>
    <xf numFmtId="172" fontId="6" fillId="6" borderId="33" xfId="5" applyNumberFormat="1" applyFont="1" applyFill="1" applyBorder="1" applyAlignment="1">
      <alignment horizontal="center" vertical="center"/>
    </xf>
    <xf numFmtId="1" fontId="6" fillId="6" borderId="4" xfId="5" applyNumberFormat="1" applyFont="1" applyFill="1" applyBorder="1" applyAlignment="1">
      <alignment horizontal="center"/>
    </xf>
    <xf numFmtId="0" fontId="6" fillId="9" borderId="4" xfId="5" applyFont="1" applyFill="1" applyBorder="1"/>
    <xf numFmtId="171" fontId="6" fillId="6" borderId="33" xfId="5" applyNumberFormat="1" applyFont="1" applyFill="1" applyBorder="1" applyAlignment="1">
      <alignment horizontal="center" vertical="center"/>
    </xf>
    <xf numFmtId="171" fontId="6" fillId="6" borderId="32" xfId="5" applyNumberFormat="1" applyFont="1" applyFill="1" applyBorder="1" applyAlignment="1">
      <alignment horizontal="center" vertical="center"/>
    </xf>
    <xf numFmtId="0" fontId="25" fillId="5" borderId="0" xfId="5" applyFont="1" applyFill="1" applyAlignment="1">
      <alignment vertical="center"/>
    </xf>
    <xf numFmtId="0" fontId="5" fillId="5" borderId="0" xfId="5" applyFont="1" applyFill="1" applyAlignment="1">
      <alignment vertical="center"/>
    </xf>
    <xf numFmtId="0" fontId="0" fillId="5" borderId="0" xfId="0" applyFill="1"/>
    <xf numFmtId="0" fontId="6" fillId="13" borderId="0" xfId="0" applyFont="1" applyFill="1"/>
    <xf numFmtId="1" fontId="6" fillId="3" borderId="6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38" fillId="0" borderId="0" xfId="0" applyFont="1"/>
    <xf numFmtId="0" fontId="6" fillId="6" borderId="4" xfId="0" applyFont="1" applyFill="1" applyBorder="1"/>
    <xf numFmtId="0" fontId="39" fillId="0" borderId="0" xfId="0" applyFont="1"/>
    <xf numFmtId="0" fontId="0" fillId="0" borderId="0" xfId="0" applyAlignment="1">
      <alignment horizontal="center"/>
    </xf>
    <xf numFmtId="0" fontId="30" fillId="4" borderId="0" xfId="0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quotePrefix="1" applyNumberFormat="1" applyFont="1" applyAlignment="1">
      <alignment horizontal="center"/>
    </xf>
    <xf numFmtId="165" fontId="30" fillId="4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Protection="1">
      <protection hidden="1"/>
    </xf>
    <xf numFmtId="0" fontId="11" fillId="0" borderId="0" xfId="0" applyFont="1" applyAlignment="1">
      <alignment horizontal="right"/>
    </xf>
    <xf numFmtId="0" fontId="6" fillId="0" borderId="0" xfId="6" applyProtection="1">
      <protection hidden="1"/>
    </xf>
    <xf numFmtId="0" fontId="6" fillId="0" borderId="0" xfId="6" applyAlignment="1" applyProtection="1">
      <alignment vertical="top" wrapText="1"/>
      <protection hidden="1"/>
    </xf>
    <xf numFmtId="165" fontId="11" fillId="0" borderId="0" xfId="0" applyNumberFormat="1" applyFont="1" applyAlignment="1">
      <alignment horizontal="center"/>
    </xf>
    <xf numFmtId="165" fontId="11" fillId="0" borderId="0" xfId="0" quotePrefix="1" applyNumberFormat="1" applyFont="1" applyAlignment="1">
      <alignment horizontal="center"/>
    </xf>
    <xf numFmtId="0" fontId="5" fillId="6" borderId="6" xfId="5" applyFont="1" applyFill="1" applyBorder="1" applyAlignment="1">
      <alignment horizontal="center" vertical="center"/>
    </xf>
    <xf numFmtId="0" fontId="28" fillId="4" borderId="0" xfId="5" applyFont="1" applyFill="1" applyAlignment="1">
      <alignment horizontal="center" vertical="center"/>
    </xf>
    <xf numFmtId="165" fontId="6" fillId="6" borderId="5" xfId="5" applyNumberFormat="1" applyFont="1" applyFill="1" applyBorder="1" applyAlignment="1">
      <alignment horizontal="center" vertical="center"/>
    </xf>
    <xf numFmtId="165" fontId="6" fillId="6" borderId="6" xfId="5" applyNumberFormat="1" applyFont="1" applyFill="1" applyBorder="1" applyAlignment="1">
      <alignment horizontal="center" vertical="center"/>
    </xf>
    <xf numFmtId="2" fontId="7" fillId="6" borderId="5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4" borderId="3" xfId="0" applyFont="1" applyFill="1" applyBorder="1" applyAlignment="1">
      <alignment horizontal="left" wrapText="1"/>
    </xf>
    <xf numFmtId="0" fontId="6" fillId="8" borderId="18" xfId="0" applyFont="1" applyFill="1" applyBorder="1" applyAlignment="1" applyProtection="1">
      <alignment horizontal="left"/>
      <protection locked="0"/>
    </xf>
    <xf numFmtId="0" fontId="6" fillId="8" borderId="4" xfId="0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4" xfId="0" applyFont="1" applyFill="1" applyBorder="1" applyAlignment="1" applyProtection="1">
      <alignment horizontal="left"/>
      <protection locked="0"/>
    </xf>
    <xf numFmtId="0" fontId="28" fillId="0" borderId="0" xfId="0" applyFont="1" applyAlignment="1">
      <alignment horizontal="right"/>
    </xf>
    <xf numFmtId="0" fontId="28" fillId="4" borderId="3" xfId="0" applyFont="1" applyFill="1" applyBorder="1" applyAlignment="1">
      <alignment horizontal="right" wrapText="1"/>
    </xf>
    <xf numFmtId="0" fontId="28" fillId="4" borderId="3" xfId="5" applyFont="1" applyFill="1" applyBorder="1" applyAlignment="1">
      <alignment horizontal="right" wrapText="1"/>
    </xf>
    <xf numFmtId="2" fontId="6" fillId="9" borderId="18" xfId="0" applyNumberFormat="1" applyFont="1" applyFill="1" applyBorder="1" applyAlignment="1">
      <alignment horizontal="right"/>
    </xf>
    <xf numFmtId="0" fontId="6" fillId="9" borderId="18" xfId="0" applyFont="1" applyFill="1" applyBorder="1" applyAlignment="1">
      <alignment horizontal="right"/>
    </xf>
    <xf numFmtId="0" fontId="6" fillId="9" borderId="4" xfId="0" applyFont="1" applyFill="1" applyBorder="1" applyAlignment="1">
      <alignment horizontal="right"/>
    </xf>
    <xf numFmtId="0" fontId="6" fillId="9" borderId="19" xfId="0" applyFont="1" applyFill="1" applyBorder="1" applyAlignment="1">
      <alignment horizontal="right"/>
    </xf>
    <xf numFmtId="0" fontId="6" fillId="8" borderId="4" xfId="6" applyFill="1" applyBorder="1" applyProtection="1">
      <protection locked="0"/>
    </xf>
    <xf numFmtId="0" fontId="6" fillId="7" borderId="4" xfId="6" applyFill="1" applyBorder="1" applyProtection="1">
      <protection locked="0"/>
    </xf>
    <xf numFmtId="165" fontId="6" fillId="8" borderId="4" xfId="6" applyNumberFormat="1" applyFill="1" applyBorder="1" applyAlignment="1" applyProtection="1">
      <alignment horizontal="center"/>
      <protection locked="0"/>
    </xf>
    <xf numFmtId="0" fontId="6" fillId="7" borderId="4" xfId="6" applyFill="1" applyBorder="1" applyAlignment="1" applyProtection="1">
      <alignment horizontal="center"/>
      <protection locked="0"/>
    </xf>
    <xf numFmtId="1" fontId="6" fillId="8" borderId="4" xfId="6" applyNumberFormat="1" applyFill="1" applyBorder="1" applyAlignment="1" applyProtection="1">
      <alignment horizontal="center"/>
      <protection locked="0"/>
    </xf>
    <xf numFmtId="0" fontId="35" fillId="0" borderId="0" xfId="0" applyFont="1" applyAlignment="1">
      <alignment horizontal="right"/>
    </xf>
    <xf numFmtId="0" fontId="41" fillId="0" borderId="0" xfId="0" applyFont="1"/>
    <xf numFmtId="0" fontId="42" fillId="0" borderId="0" xfId="0" applyFont="1"/>
    <xf numFmtId="0" fontId="43" fillId="0" borderId="0" xfId="0" applyFont="1"/>
    <xf numFmtId="9" fontId="43" fillId="0" borderId="0" xfId="0" applyNumberFormat="1" applyFont="1"/>
    <xf numFmtId="0" fontId="42" fillId="0" borderId="0" xfId="0" applyFont="1" applyAlignment="1">
      <alignment horizontal="right"/>
    </xf>
    <xf numFmtId="0" fontId="32" fillId="4" borderId="21" xfId="5" applyFont="1" applyFill="1" applyBorder="1" applyAlignment="1">
      <alignment horizontal="center" vertical="center"/>
    </xf>
    <xf numFmtId="0" fontId="42" fillId="14" borderId="0" xfId="0" applyFont="1" applyFill="1"/>
    <xf numFmtId="9" fontId="43" fillId="14" borderId="0" xfId="3" applyFont="1" applyFill="1"/>
    <xf numFmtId="9" fontId="43" fillId="14" borderId="0" xfId="0" applyNumberFormat="1" applyFont="1" applyFill="1"/>
    <xf numFmtId="0" fontId="43" fillId="14" borderId="0" xfId="0" applyFont="1" applyFill="1"/>
    <xf numFmtId="0" fontId="16" fillId="0" borderId="0" xfId="0" applyFont="1" applyAlignment="1">
      <alignment horizontal="right"/>
    </xf>
    <xf numFmtId="0" fontId="6" fillId="5" borderId="0" xfId="0" applyFont="1" applyFill="1" applyAlignment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Alignment="1" applyProtection="1">
      <alignment vertical="center"/>
      <protection locked="0"/>
    </xf>
    <xf numFmtId="0" fontId="6" fillId="0" borderId="0" xfId="0" applyFont="1" applyAlignment="1">
      <alignment horizontal="left" vertical="top"/>
    </xf>
    <xf numFmtId="0" fontId="5" fillId="3" borderId="5" xfId="0" applyFont="1" applyFill="1" applyBorder="1" applyAlignment="1">
      <alignment horizontal="center" vertical="center"/>
    </xf>
    <xf numFmtId="169" fontId="6" fillId="8" borderId="0" xfId="0" applyNumberFormat="1" applyFont="1" applyFill="1" applyAlignment="1" applyProtection="1">
      <alignment horizontal="left" vertical="center"/>
      <protection locked="0"/>
    </xf>
    <xf numFmtId="0" fontId="32" fillId="4" borderId="21" xfId="0" applyFont="1" applyFill="1" applyBorder="1" applyAlignment="1">
      <alignment vertical="center"/>
    </xf>
    <xf numFmtId="0" fontId="32" fillId="4" borderId="14" xfId="0" applyFont="1" applyFill="1" applyBorder="1" applyAlignment="1">
      <alignment vertical="center"/>
    </xf>
    <xf numFmtId="0" fontId="32" fillId="4" borderId="15" xfId="0" applyFont="1" applyFill="1" applyBorder="1" applyAlignment="1">
      <alignment vertical="center"/>
    </xf>
    <xf numFmtId="0" fontId="32" fillId="4" borderId="21" xfId="0" applyFont="1" applyFill="1" applyBorder="1" applyAlignment="1">
      <alignment horizontal="left" vertical="center" wrapText="1"/>
    </xf>
    <xf numFmtId="0" fontId="32" fillId="4" borderId="14" xfId="0" applyFont="1" applyFill="1" applyBorder="1" applyAlignment="1">
      <alignment horizontal="left" vertical="center" wrapText="1"/>
    </xf>
    <xf numFmtId="0" fontId="32" fillId="4" borderId="15" xfId="0" applyFont="1" applyFill="1" applyBorder="1" applyAlignment="1">
      <alignment horizontal="left" vertical="center" wrapText="1"/>
    </xf>
    <xf numFmtId="0" fontId="32" fillId="4" borderId="21" xfId="0" applyFont="1" applyFill="1" applyBorder="1" applyAlignment="1">
      <alignment horizontal="right" vertical="center"/>
    </xf>
    <xf numFmtId="0" fontId="32" fillId="4" borderId="14" xfId="0" applyFont="1" applyFill="1" applyBorder="1" applyAlignment="1">
      <alignment horizontal="right" vertical="center"/>
    </xf>
    <xf numFmtId="0" fontId="32" fillId="4" borderId="25" xfId="5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5" fillId="6" borderId="6" xfId="5" applyFont="1" applyFill="1" applyBorder="1" applyAlignment="1">
      <alignment horizontal="center" vertical="center"/>
    </xf>
    <xf numFmtId="0" fontId="28" fillId="4" borderId="20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0" fontId="28" fillId="4" borderId="27" xfId="5" applyFont="1" applyFill="1" applyBorder="1" applyAlignment="1">
      <alignment horizontal="center" vertical="center" wrapText="1"/>
    </xf>
    <xf numFmtId="0" fontId="28" fillId="4" borderId="23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top" wrapText="1"/>
    </xf>
    <xf numFmtId="0" fontId="28" fillId="4" borderId="27" xfId="5" applyFont="1" applyFill="1" applyBorder="1" applyAlignment="1">
      <alignment horizontal="center" vertical="top" wrapText="1"/>
    </xf>
    <xf numFmtId="0" fontId="28" fillId="4" borderId="28" xfId="5" applyFont="1" applyFill="1" applyBorder="1" applyAlignment="1">
      <alignment horizontal="center" vertical="top" wrapText="1"/>
    </xf>
    <xf numFmtId="0" fontId="32" fillId="4" borderId="21" xfId="5" applyFont="1" applyFill="1" applyBorder="1" applyAlignment="1">
      <alignment horizontal="left" vertical="center"/>
    </xf>
    <xf numFmtId="0" fontId="32" fillId="4" borderId="14" xfId="5" applyFont="1" applyFill="1" applyBorder="1" applyAlignment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>
      <alignment vertical="center"/>
    </xf>
    <xf numFmtId="0" fontId="32" fillId="4" borderId="15" xfId="5" applyFont="1" applyFill="1" applyBorder="1" applyAlignment="1">
      <alignment vertical="center"/>
    </xf>
    <xf numFmtId="0" fontId="28" fillId="4" borderId="27" xfId="5" applyFont="1" applyFill="1" applyBorder="1" applyAlignment="1">
      <alignment horizontal="center" wrapText="1"/>
    </xf>
    <xf numFmtId="0" fontId="28" fillId="4" borderId="28" xfId="5" applyFont="1" applyFill="1" applyBorder="1" applyAlignment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EAEA"/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24</xdr:row>
          <xdr:rowOff>402771</xdr:rowOff>
        </xdr:from>
        <xdr:to>
          <xdr:col>2</xdr:col>
          <xdr:colOff>315686</xdr:colOff>
          <xdr:row>24</xdr:row>
          <xdr:rowOff>620486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32657</xdr:colOff>
          <xdr:row>26</xdr:row>
          <xdr:rowOff>419100</xdr:rowOff>
        </xdr:from>
        <xdr:to>
          <xdr:col>2</xdr:col>
          <xdr:colOff>337457</xdr:colOff>
          <xdr:row>26</xdr:row>
          <xdr:rowOff>642257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28</xdr:row>
          <xdr:rowOff>451757</xdr:rowOff>
        </xdr:from>
        <xdr:to>
          <xdr:col>2</xdr:col>
          <xdr:colOff>315686</xdr:colOff>
          <xdr:row>28</xdr:row>
          <xdr:rowOff>669471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28</xdr:row>
          <xdr:rowOff>429986</xdr:rowOff>
        </xdr:from>
        <xdr:to>
          <xdr:col>1</xdr:col>
          <xdr:colOff>315686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642257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26</xdr:row>
          <xdr:rowOff>429986</xdr:rowOff>
        </xdr:from>
        <xdr:to>
          <xdr:col>1</xdr:col>
          <xdr:colOff>315686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429986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440871</xdr:rowOff>
        </xdr:from>
        <xdr:to>
          <xdr:col>0</xdr:col>
          <xdr:colOff>304800</xdr:colOff>
          <xdr:row>24</xdr:row>
          <xdr:rowOff>658586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680357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136071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linguee.de/deutsch-englisch/uebersetzung/Restaurants.html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J93"/>
  <sheetViews>
    <sheetView showGridLines="0" tabSelected="1" workbookViewId="0">
      <selection activeCell="B5" sqref="B5:D5"/>
    </sheetView>
  </sheetViews>
  <sheetFormatPr baseColWidth="10" defaultColWidth="11.5625" defaultRowHeight="15" x14ac:dyDescent="0.35"/>
  <cols>
    <col min="1" max="1" width="19" style="118" customWidth="1"/>
    <col min="2" max="2" width="50" style="118" customWidth="1"/>
    <col min="3" max="3" width="16.875" style="118" customWidth="1"/>
    <col min="4" max="4" width="3.0625" style="118" customWidth="1"/>
    <col min="5" max="5" width="7.3125" style="120" customWidth="1"/>
    <col min="6" max="10" width="7.3125" style="118" customWidth="1"/>
    <col min="11" max="16384" width="11.5625" style="118"/>
  </cols>
  <sheetData>
    <row r="1" spans="1:10" ht="28.5" customHeight="1" x14ac:dyDescent="0.6">
      <c r="A1" s="63" t="str">
        <f>VLOOKUP(ADDRESS(ROW(),COLUMN(),4),MatrixTexteT1,2,FALSE)&amp;" "&amp;Version</f>
        <v>Tageslicht-Tool ECO V2023.2</v>
      </c>
      <c r="B1" s="116"/>
      <c r="C1" s="116"/>
      <c r="D1" s="212" t="str">
        <f>VLOOKUP(ADDRESS(ROW(),COLUMN(),4),MatrixTexteT1,2,FALSE)</f>
        <v>Zu verwenden bis 31.12.2026</v>
      </c>
      <c r="E1" s="117"/>
      <c r="F1" s="116"/>
      <c r="G1" s="116"/>
      <c r="H1" s="116"/>
      <c r="I1" s="116"/>
      <c r="J1" s="116"/>
    </row>
    <row r="2" spans="1:10" ht="9" customHeight="1" x14ac:dyDescent="0.35">
      <c r="A2" s="119"/>
      <c r="B2" s="119"/>
      <c r="C2" s="119"/>
      <c r="D2" s="119"/>
    </row>
    <row r="3" spans="1:10" ht="24.75" customHeight="1" x14ac:dyDescent="0.4">
      <c r="A3" s="121" t="str">
        <f>VLOOKUP(ADDRESS(ROW(),COLUMN(),4),MatrixTexteT1,2,FALSE)</f>
        <v>Objektdaten</v>
      </c>
      <c r="B3" s="121"/>
      <c r="C3" s="121"/>
      <c r="D3" s="121"/>
      <c r="E3" s="122"/>
      <c r="F3" s="64"/>
      <c r="G3" s="64"/>
      <c r="H3" s="64"/>
    </row>
    <row r="4" spans="1:10" s="24" customFormat="1" ht="9.75" customHeight="1" x14ac:dyDescent="0.35">
      <c r="A4" s="123"/>
      <c r="B4" s="123"/>
      <c r="C4" s="123"/>
      <c r="D4" s="123"/>
      <c r="E4" s="82"/>
    </row>
    <row r="5" spans="1:10" s="24" customFormat="1" ht="15" customHeight="1" thickBot="1" x14ac:dyDescent="0.4">
      <c r="A5" s="178" t="str">
        <f>VLOOKUP(ADDRESS(ROW(),COLUMN(),4),MatrixTexteT1,2,FALSE)</f>
        <v>Projektbezeichnung</v>
      </c>
      <c r="B5" s="271"/>
      <c r="C5" s="271"/>
      <c r="D5" s="271"/>
      <c r="E5" s="82"/>
    </row>
    <row r="6" spans="1:10" s="24" customFormat="1" ht="15" customHeight="1" thickTop="1" x14ac:dyDescent="0.35">
      <c r="A6" s="82"/>
      <c r="B6" s="272"/>
      <c r="C6" s="272"/>
      <c r="D6" s="272"/>
      <c r="E6" s="82"/>
    </row>
    <row r="7" spans="1:10" s="24" customFormat="1" ht="9" customHeight="1" x14ac:dyDescent="0.35">
      <c r="A7" s="82"/>
      <c r="B7" s="82"/>
      <c r="C7" s="82"/>
      <c r="D7" s="123"/>
      <c r="E7" s="82"/>
    </row>
    <row r="8" spans="1:10" s="24" customFormat="1" ht="15" customHeight="1" x14ac:dyDescent="0.35">
      <c r="A8" s="178" t="str">
        <f>VLOOKUP(ADDRESS(ROW(),COLUMN(),4),MatrixTexteT1,2,FALSE)</f>
        <v>Bauvorhaben</v>
      </c>
      <c r="B8" s="273"/>
      <c r="C8" s="273"/>
      <c r="D8" s="273"/>
      <c r="E8" s="124"/>
      <c r="G8" s="125"/>
    </row>
    <row r="9" spans="1:10" s="24" customFormat="1" ht="15" customHeight="1" x14ac:dyDescent="0.35">
      <c r="A9" s="82"/>
      <c r="B9" s="126" t="str">
        <f>IF(Bauvorhaben=Neubau,Texte!$B$241,IF(Bauvorhaben=Erneuerung,Texte!$B$240,Texte!$B$29))</f>
        <v>Erfassen Sie zuerst die Objektdaten im Blatt 'Überblick'.</v>
      </c>
      <c r="C9" s="127"/>
      <c r="D9" s="123"/>
      <c r="E9" s="128"/>
      <c r="G9" s="129"/>
    </row>
    <row r="10" spans="1:10" s="24" customFormat="1" ht="9" customHeight="1" x14ac:dyDescent="0.35">
      <c r="A10" s="82"/>
      <c r="B10" s="82"/>
      <c r="C10" s="82"/>
      <c r="D10" s="123"/>
      <c r="E10" s="130"/>
      <c r="G10" s="131"/>
    </row>
    <row r="11" spans="1:10" s="24" customFormat="1" ht="15" customHeight="1" x14ac:dyDescent="0.35">
      <c r="A11" s="82" t="str">
        <f>VLOOKUP(ADDRESS(ROW(),COLUMN(),4),MatrixTexteT1,2,FALSE)</f>
        <v>Nutzung</v>
      </c>
      <c r="B11" s="273"/>
      <c r="C11" s="273"/>
      <c r="D11" s="273"/>
      <c r="E11" s="130"/>
      <c r="G11" s="131"/>
    </row>
    <row r="12" spans="1:10" s="24" customFormat="1" ht="15" customHeight="1" x14ac:dyDescent="0.35">
      <c r="A12" s="82"/>
      <c r="B12" s="126" t="str">
        <f>VLOOKUP(ADDRESS(ROW(),COLUMN(),4),MatrixTexteT1,2,FALSE)</f>
        <v>Wählen Sie die Nutzung mit dem grössten Flächenanteil.</v>
      </c>
      <c r="C12" s="127"/>
      <c r="D12" s="123"/>
      <c r="E12" s="130"/>
      <c r="G12" s="131"/>
    </row>
    <row r="13" spans="1:10" s="24" customFormat="1" ht="9" customHeight="1" x14ac:dyDescent="0.35">
      <c r="A13" s="82"/>
      <c r="B13" s="82"/>
      <c r="C13" s="82"/>
      <c r="D13" s="123"/>
      <c r="E13" s="130"/>
      <c r="G13" s="131"/>
    </row>
    <row r="14" spans="1:10" s="24" customFormat="1" ht="15" customHeight="1" thickBot="1" x14ac:dyDescent="0.4">
      <c r="A14" s="178" t="str">
        <f>VLOOKUP(ADDRESS(ROW(),COLUMN(),4),MatrixTexteT1,2,FALSE)</f>
        <v>Bauherr</v>
      </c>
      <c r="B14" s="271"/>
      <c r="C14" s="271"/>
      <c r="D14" s="271"/>
      <c r="E14" s="82"/>
    </row>
    <row r="15" spans="1:10" s="24" customFormat="1" ht="12.9" thickTop="1" x14ac:dyDescent="0.35">
      <c r="A15" s="82"/>
      <c r="B15" s="272"/>
      <c r="C15" s="272"/>
      <c r="D15" s="272"/>
      <c r="E15" s="82"/>
    </row>
    <row r="16" spans="1:10" s="24" customFormat="1" ht="9" customHeight="1" x14ac:dyDescent="0.35">
      <c r="A16" s="82"/>
      <c r="B16" s="82"/>
      <c r="C16" s="82"/>
      <c r="D16" s="123"/>
      <c r="E16" s="132"/>
    </row>
    <row r="17" spans="1:5" s="24" customFormat="1" ht="15" customHeight="1" thickBot="1" x14ac:dyDescent="0.4">
      <c r="A17" s="178" t="str">
        <f>VLOOKUP(ADDRESS(ROW(),COLUMN(),4),MatrixTexteT1,2,FALSE)</f>
        <v>Architekt</v>
      </c>
      <c r="B17" s="271"/>
      <c r="C17" s="271"/>
      <c r="D17" s="271"/>
      <c r="E17" s="82"/>
    </row>
    <row r="18" spans="1:5" s="24" customFormat="1" ht="15" customHeight="1" thickTop="1" x14ac:dyDescent="0.35">
      <c r="A18" s="82"/>
      <c r="B18" s="272"/>
      <c r="C18" s="272"/>
      <c r="D18" s="272"/>
      <c r="E18" s="82"/>
    </row>
    <row r="19" spans="1:5" s="24" customFormat="1" ht="9" customHeight="1" x14ac:dyDescent="0.35">
      <c r="A19" s="82"/>
      <c r="B19" s="82"/>
      <c r="C19" s="82"/>
      <c r="D19" s="123"/>
      <c r="E19" s="82"/>
    </row>
    <row r="20" spans="1:5" s="24" customFormat="1" ht="15" customHeight="1" thickBot="1" x14ac:dyDescent="0.4">
      <c r="A20" s="178" t="str">
        <f>VLOOKUP(ADDRESS(ROW(),COLUMN(),4),MatrixTexteT1,2,FALSE)</f>
        <v>Elektroplanung</v>
      </c>
      <c r="B20" s="271"/>
      <c r="C20" s="271"/>
      <c r="D20" s="271"/>
      <c r="E20" s="82"/>
    </row>
    <row r="21" spans="1:5" s="134" customFormat="1" ht="15" customHeight="1" thickTop="1" x14ac:dyDescent="0.35">
      <c r="A21" s="82"/>
      <c r="B21" s="272"/>
      <c r="C21" s="272"/>
      <c r="D21" s="272"/>
      <c r="E21" s="133"/>
    </row>
    <row r="22" spans="1:5" s="24" customFormat="1" ht="9" customHeight="1" x14ac:dyDescent="0.35">
      <c r="A22" s="82"/>
      <c r="B22" s="82"/>
      <c r="C22" s="82"/>
      <c r="D22" s="123"/>
      <c r="E22" s="82"/>
    </row>
    <row r="23" spans="1:5" s="24" customFormat="1" ht="15" customHeight="1" thickBot="1" x14ac:dyDescent="0.4">
      <c r="A23" s="178" t="str">
        <f>VLOOKUP(ADDRESS(ROW(),COLUMN(),4),MatrixTexteT1,2,FALSE)</f>
        <v>Beleuchtungsplanung</v>
      </c>
      <c r="B23" s="271"/>
      <c r="C23" s="271"/>
      <c r="D23" s="271"/>
      <c r="E23" s="82"/>
    </row>
    <row r="24" spans="1:5" s="24" customFormat="1" ht="15" customHeight="1" thickTop="1" x14ac:dyDescent="0.35">
      <c r="A24" s="82"/>
      <c r="B24" s="272"/>
      <c r="C24" s="272"/>
      <c r="D24" s="272"/>
      <c r="E24" s="82"/>
    </row>
    <row r="25" spans="1:5" s="24" customFormat="1" ht="9" customHeight="1" x14ac:dyDescent="0.35">
      <c r="A25" s="82"/>
      <c r="B25" s="82"/>
      <c r="C25" s="82"/>
      <c r="D25" s="123"/>
      <c r="E25" s="82"/>
    </row>
    <row r="26" spans="1:5" s="24" customFormat="1" ht="15" customHeight="1" thickBot="1" x14ac:dyDescent="0.4">
      <c r="A26" s="178" t="str">
        <f>VLOOKUP(ADDRESS(ROW(),COLUMN(),4),MatrixTexteT1,2,FALSE)</f>
        <v>Ersteller Nachweis</v>
      </c>
      <c r="B26" s="271"/>
      <c r="C26" s="271"/>
      <c r="D26" s="271"/>
      <c r="E26" s="82"/>
    </row>
    <row r="27" spans="1:5" s="24" customFormat="1" ht="15" customHeight="1" thickTop="1" x14ac:dyDescent="0.35">
      <c r="A27" s="82"/>
      <c r="B27" s="272"/>
      <c r="C27" s="272"/>
      <c r="D27" s="272"/>
      <c r="E27" s="82"/>
    </row>
    <row r="28" spans="1:5" s="24" customFormat="1" ht="9" customHeight="1" x14ac:dyDescent="0.35">
      <c r="A28" s="82"/>
      <c r="B28" s="82"/>
      <c r="C28" s="82"/>
      <c r="D28" s="135"/>
      <c r="E28" s="82"/>
    </row>
    <row r="29" spans="1:5" s="24" customFormat="1" ht="15" customHeight="1" x14ac:dyDescent="0.35">
      <c r="A29" s="178" t="str">
        <f>VLOOKUP(ADDRESS(ROW(),COLUMN(),4),MatrixTexteT1,2,FALSE)</f>
        <v>Datum</v>
      </c>
      <c r="B29" s="276"/>
      <c r="C29" s="276"/>
      <c r="D29" s="276"/>
      <c r="E29" s="82"/>
    </row>
    <row r="30" spans="1:5" s="24" customFormat="1" ht="25.5" customHeight="1" x14ac:dyDescent="0.35">
      <c r="A30" s="82"/>
      <c r="B30" s="82"/>
      <c r="C30" s="82"/>
      <c r="D30" s="135"/>
      <c r="E30" s="82"/>
    </row>
    <row r="31" spans="1:5" s="137" customFormat="1" ht="25.5" customHeight="1" x14ac:dyDescent="0.35">
      <c r="A31" s="121" t="str">
        <f>VLOOKUP(ADDRESS(ROW(),COLUMN(),4),MatrixTexteT1,2,FALSE)</f>
        <v>Zusammenfassung der Ergebnisse Tageslicht</v>
      </c>
      <c r="B31" s="136"/>
      <c r="C31" s="136"/>
      <c r="D31" s="143" t="str">
        <f>VLOOKUP(ADDRESS(ROW(),COLUMN(),4),MatrixTexteT1,2,FALSE)</f>
        <v>Label-Plattform: wenn erfüllt mind. 50% übertragen.</v>
      </c>
      <c r="E31" s="123"/>
    </row>
    <row r="32" spans="1:5" ht="9.75" customHeight="1" x14ac:dyDescent="0.35">
      <c r="A32" s="123"/>
      <c r="B32" s="123"/>
      <c r="C32" s="123"/>
      <c r="D32" s="123"/>
    </row>
    <row r="33" spans="1:5" ht="15.45" thickBot="1" x14ac:dyDescent="0.4">
      <c r="A33" s="138" t="str">
        <f>VLOOKUP(ADDRESS(ROW(),COLUMN(),4),MatrixTexteT1,2,FALSE)</f>
        <v>Erfasste Raumfläche total</v>
      </c>
      <c r="B33" s="138"/>
      <c r="C33" s="139">
        <f>Tageslicht!N38</f>
        <v>0</v>
      </c>
      <c r="D33" s="138" t="s">
        <v>140</v>
      </c>
    </row>
    <row r="34" spans="1:5" ht="15.9" thickTop="1" thickBot="1" x14ac:dyDescent="0.4">
      <c r="A34" s="140" t="str">
        <f>VLOOKUP(ADDRESS(ROW(),COLUMN(),4),MatrixTexteT1,2,FALSE)</f>
        <v>Raumfläche mit ungenügendem Ergebnis</v>
      </c>
      <c r="B34" s="140"/>
      <c r="C34" s="141">
        <f>Tageslicht!N39</f>
        <v>0</v>
      </c>
      <c r="D34" s="140" t="s">
        <v>140</v>
      </c>
    </row>
    <row r="35" spans="1:5" ht="15.9" thickTop="1" thickBot="1" x14ac:dyDescent="0.4">
      <c r="A35" s="140" t="str">
        <f>Tageslicht!B39</f>
        <v>Anteil der Raumfläche mit ungenügendem Ergebnis</v>
      </c>
      <c r="B35" s="140"/>
      <c r="C35" s="142">
        <f>Tageslicht!P39</f>
        <v>0</v>
      </c>
      <c r="D35" s="140" t="s">
        <v>138</v>
      </c>
    </row>
    <row r="36" spans="1:5" ht="15.9" thickTop="1" thickBot="1" x14ac:dyDescent="0.4">
      <c r="A36" s="140" t="str">
        <f>Tageslicht!B38</f>
        <v>Tageslicht-Erfüllungsgrad über alle Räume</v>
      </c>
      <c r="B36" s="140"/>
      <c r="C36" s="142">
        <f>Tageslicht!P38</f>
        <v>0</v>
      </c>
      <c r="D36" s="140" t="s">
        <v>138</v>
      </c>
    </row>
    <row r="37" spans="1:5" ht="25.5" customHeight="1" thickTop="1" x14ac:dyDescent="0.35">
      <c r="A37" s="186" t="str">
        <f>VLOOKUP(ADDRESS(ROW(),COLUMN(),4),MatrixTexteT1,2,FALSE)</f>
        <v>Die Anforderungen des Zusatzes ECO sind</v>
      </c>
      <c r="B37" s="185"/>
      <c r="C37" s="275" t="str">
        <f>Tageslicht!N40</f>
        <v>nicht erfüllt</v>
      </c>
      <c r="D37" s="275"/>
    </row>
    <row r="38" spans="1:5" ht="25.5" customHeight="1" x14ac:dyDescent="0.35">
      <c r="A38" s="82"/>
      <c r="B38" s="82"/>
      <c r="C38" s="82"/>
      <c r="D38" s="82"/>
    </row>
    <row r="39" spans="1:5" s="137" customFormat="1" ht="25.5" customHeight="1" x14ac:dyDescent="0.35">
      <c r="A39" s="121" t="str">
        <f>VLOOKUP(ADDRESS(ROW(),COLUMN(),4),MatrixTexteT1,2,FALSE)</f>
        <v>Zusammenfassung der Ergebnisse Ausblick</v>
      </c>
      <c r="B39" s="136"/>
      <c r="C39" s="136"/>
      <c r="D39" s="136"/>
      <c r="E39" s="123"/>
    </row>
    <row r="40" spans="1:5" ht="9.75" customHeight="1" x14ac:dyDescent="0.35">
      <c r="A40" s="123"/>
      <c r="B40" s="123"/>
      <c r="C40" s="123"/>
      <c r="D40" s="123"/>
    </row>
    <row r="41" spans="1:5" ht="15.45" thickBot="1" x14ac:dyDescent="0.4">
      <c r="A41" s="138" t="str">
        <f>VLOOKUP(ADDRESS(ROW(),COLUMN(),4),MatrixTexteT1,2,FALSE)</f>
        <v>Erfasste Raumfläche total</v>
      </c>
      <c r="B41" s="138"/>
      <c r="C41" s="139">
        <f>Ausblick!G38</f>
        <v>0</v>
      </c>
      <c r="D41" s="138" t="s">
        <v>140</v>
      </c>
    </row>
    <row r="42" spans="1:5" ht="15.9" thickTop="1" thickBot="1" x14ac:dyDescent="0.4">
      <c r="A42" s="140" t="str">
        <f>VLOOKUP(ADDRESS(ROW(),COLUMN(),4),MatrixTexteT1,2,FALSE)</f>
        <v>Raumfläche mit ungenügendem Ergebnis</v>
      </c>
      <c r="B42" s="140"/>
      <c r="C42" s="141">
        <f>Ausblick!G39</f>
        <v>0</v>
      </c>
      <c r="D42" s="140" t="s">
        <v>140</v>
      </c>
    </row>
    <row r="43" spans="1:5" ht="15.9" thickTop="1" thickBot="1" x14ac:dyDescent="0.4">
      <c r="A43" s="140" t="str">
        <f>Ausblick!B39</f>
        <v>Anteil der Raumfläche mit ungenügendem Ergebnis</v>
      </c>
      <c r="B43" s="140"/>
      <c r="C43" s="142">
        <f>Ausblick!H39*100</f>
        <v>0</v>
      </c>
      <c r="D43" s="140" t="s">
        <v>138</v>
      </c>
    </row>
    <row r="44" spans="1:5" ht="15.9" thickTop="1" thickBot="1" x14ac:dyDescent="0.4">
      <c r="A44" s="140" t="str">
        <f>Ausblick!B38</f>
        <v>Qualität des Ausblicks (über alle Räume)</v>
      </c>
      <c r="B44" s="140"/>
      <c r="C44" s="211" t="str">
        <f>Ausblick!H38</f>
        <v>ungenügend</v>
      </c>
      <c r="D44" s="140"/>
    </row>
    <row r="45" spans="1:5" ht="25.5" customHeight="1" thickTop="1" x14ac:dyDescent="0.35">
      <c r="A45" s="186" t="str">
        <f>VLOOKUP(ADDRESS(ROW(),COLUMN(),4),MatrixTexteT1,2,FALSE)</f>
        <v>Die Anforderungen des Zusatzes ECO sind</v>
      </c>
      <c r="B45" s="185"/>
      <c r="C45" s="275" t="str">
        <f>Ausblick!G40</f>
        <v>nicht erfüllt</v>
      </c>
      <c r="D45" s="275"/>
    </row>
    <row r="46" spans="1:5" ht="25.5" customHeight="1" x14ac:dyDescent="0.35">
      <c r="A46" s="82"/>
      <c r="B46" s="82"/>
      <c r="C46" s="82"/>
      <c r="D46" s="82"/>
    </row>
    <row r="47" spans="1:5" ht="26.25" customHeight="1" x14ac:dyDescent="0.35">
      <c r="A47" s="121" t="str">
        <f>VLOOKUP(ADDRESS(ROW(),COLUMN(),4),MatrixTexteT1,2,FALSE)</f>
        <v>Kurzanleitung</v>
      </c>
      <c r="B47" s="136"/>
      <c r="C47" s="136"/>
      <c r="D47" s="143" t="str">
        <f>VLOOKUP(ADDRESS(ROW(),COLUMN(),4),MatrixTexteT1,2,FALSE)</f>
        <v xml:space="preserve">Eine ausführliche Anleitung finden Sie auf der Minergie-Website.  </v>
      </c>
    </row>
    <row r="48" spans="1:5" ht="9" customHeight="1" x14ac:dyDescent="0.35">
      <c r="A48" s="82"/>
      <c r="B48" s="144"/>
      <c r="C48" s="144"/>
      <c r="D48" s="145"/>
    </row>
    <row r="49" spans="1:5" s="147" customFormat="1" ht="16.5" customHeight="1" x14ac:dyDescent="0.35">
      <c r="A49" s="274" t="str">
        <f t="shared" ref="A49:A59" si="0">VLOOKUP(ADDRESS(ROW(),COLUMN(),4),MatrixTexteT1,2,FALSE)</f>
        <v>Erfassen Sie zuerst die Objektdaten im Blatt 'Überblick'.</v>
      </c>
      <c r="B49" s="274"/>
      <c r="C49" s="274"/>
      <c r="D49" s="274"/>
      <c r="E49" s="146"/>
    </row>
    <row r="50" spans="1:5" s="147" customFormat="1" ht="16.5" customHeight="1" x14ac:dyDescent="0.35">
      <c r="A50" s="270" t="str">
        <f t="shared" si="0"/>
        <v>Falls es sich beim Projekt um eine Erneuerung handelt, füllen Sie das Blatt 'Fragenkatalog_Erneuerung' aus.</v>
      </c>
      <c r="B50" s="270"/>
      <c r="C50" s="270"/>
      <c r="D50" s="270"/>
      <c r="E50" s="146"/>
    </row>
    <row r="51" spans="1:5" s="147" customFormat="1" ht="16.5" customHeight="1" x14ac:dyDescent="0.35">
      <c r="A51" s="270" t="str">
        <f t="shared" si="0"/>
        <v>Falls es sich beim Projekt um einen Neubau handelt, gehen Sie zum Blatt 'Fenster'.</v>
      </c>
      <c r="B51" s="270"/>
      <c r="C51" s="270"/>
      <c r="D51" s="270"/>
      <c r="E51" s="146"/>
    </row>
    <row r="52" spans="1:5" s="147" customFormat="1" ht="16.5" customHeight="1" x14ac:dyDescent="0.35">
      <c r="A52" s="270" t="str">
        <f t="shared" si="0"/>
        <v>Anschliessend geben Sie die Fensterdaten des Gebäudes in der Tabelle 'Fenster' ein.</v>
      </c>
      <c r="B52" s="270"/>
      <c r="C52" s="270"/>
      <c r="D52" s="270"/>
      <c r="E52" s="146"/>
    </row>
    <row r="53" spans="1:5" s="147" customFormat="1" ht="16.5" customHeight="1" x14ac:dyDescent="0.35">
      <c r="A53" s="270" t="str">
        <f t="shared" si="0"/>
        <v>Als nächsten Schritt erfassen Sie die Raumdaten und die im Raum verwendeten Fenster im Blatt 'Tageslicht'.</v>
      </c>
      <c r="B53" s="270"/>
      <c r="C53" s="270"/>
      <c r="D53" s="270"/>
      <c r="E53" s="146"/>
    </row>
    <row r="54" spans="1:5" s="147" customFormat="1" ht="16.5" customHeight="1" x14ac:dyDescent="0.35">
      <c r="A54" s="270" t="str">
        <f t="shared" si="0"/>
        <v>Zuletzt erfassen Sie den Ausblick pro Raum im Blatt 'Ausblick'.</v>
      </c>
      <c r="B54" s="270"/>
      <c r="C54" s="270"/>
      <c r="D54" s="270"/>
      <c r="E54" s="146"/>
    </row>
    <row r="55" spans="1:5" s="147" customFormat="1" ht="16.5" customHeight="1" x14ac:dyDescent="0.35">
      <c r="A55" s="270" t="str">
        <f t="shared" si="0"/>
        <v>Bitte beachten Sie die beim Anklicken der Eingabefelder erscheinenden Hilfstexte.</v>
      </c>
      <c r="B55" s="270"/>
      <c r="C55" s="270"/>
      <c r="D55" s="270"/>
      <c r="E55" s="146"/>
    </row>
    <row r="56" spans="1:5" s="147" customFormat="1" ht="16.5" customHeight="1" x14ac:dyDescent="0.35">
      <c r="A56" s="270" t="str">
        <f t="shared" si="0"/>
        <v>Die Ergebnisse werden unten auf der Seite im Blatt 'Tageslicht' und im Blatt 'Überblick' ausgegeben.</v>
      </c>
      <c r="B56" s="270"/>
      <c r="C56" s="270"/>
      <c r="D56" s="270"/>
      <c r="E56" s="146"/>
    </row>
    <row r="57" spans="1:5" s="147" customFormat="1" ht="16.5" customHeight="1" x14ac:dyDescent="0.35">
      <c r="A57" s="270" t="str">
        <f t="shared" si="0"/>
        <v>Falls eine Tabelle nicht ausreichen sollte, so können Sie die Ergebnisse von anderen Blättern unten im Blatt 'Tageslicht' eintragen.</v>
      </c>
      <c r="B57" s="270"/>
      <c r="C57" s="270"/>
      <c r="D57" s="270"/>
      <c r="E57" s="146"/>
    </row>
    <row r="58" spans="1:5" s="147" customFormat="1" ht="16.5" customHeight="1" x14ac:dyDescent="0.35">
      <c r="A58" s="270" t="str">
        <f t="shared" si="0"/>
        <v>Bei Fragen zu Zertifizierungsobjekten steht Ihnen die zuständige Zertifizierungsstelle gerne zur Verfügung.</v>
      </c>
      <c r="B58" s="270"/>
      <c r="C58" s="270"/>
      <c r="D58" s="270"/>
      <c r="E58" s="146"/>
    </row>
    <row r="59" spans="1:5" x14ac:dyDescent="0.35">
      <c r="A59" s="270" t="str">
        <f t="shared" si="0"/>
        <v>Ausnahmeregelung für Schulen: Tageslichterfüllungsgrad von mindestens 40% (siehe Vorgabe 140.01 Tageslicht).</v>
      </c>
      <c r="B59" s="270"/>
      <c r="C59" s="270"/>
      <c r="D59" s="270"/>
    </row>
    <row r="93" spans="1:1" x14ac:dyDescent="0.35">
      <c r="A93" s="148">
        <v>5</v>
      </c>
    </row>
  </sheetData>
  <sheetProtection algorithmName="SHA-512" hashValue="jRcTfxKIzuphqWjZeGFrC8kX+w+SubVeGmCEryvQBXmcpd4wybOAHmUtSIEHn1eD1vOAiLZVvLndzryUJ2LgQQ==" saltValue="cyUGoVmMQLx42Et7koWI9g==" spinCount="100000" sheet="1" objects="1" scenarios="1"/>
  <mergeCells count="28">
    <mergeCell ref="B17:D17"/>
    <mergeCell ref="B18:D18"/>
    <mergeCell ref="B20:D20"/>
    <mergeCell ref="B21:D21"/>
    <mergeCell ref="A49:D49"/>
    <mergeCell ref="B23:D23"/>
    <mergeCell ref="C45:D45"/>
    <mergeCell ref="B24:D24"/>
    <mergeCell ref="B26:D26"/>
    <mergeCell ref="B27:D27"/>
    <mergeCell ref="B29:D29"/>
    <mergeCell ref="C37:D37"/>
    <mergeCell ref="B5:D5"/>
    <mergeCell ref="B6:D6"/>
    <mergeCell ref="B8:D8"/>
    <mergeCell ref="B14:D14"/>
    <mergeCell ref="B15:D15"/>
    <mergeCell ref="B11:D11"/>
    <mergeCell ref="A51:D51"/>
    <mergeCell ref="A50:D50"/>
    <mergeCell ref="A59:D59"/>
    <mergeCell ref="A56:D56"/>
    <mergeCell ref="A52:D52"/>
    <mergeCell ref="A53:D53"/>
    <mergeCell ref="A55:D55"/>
    <mergeCell ref="A57:D57"/>
    <mergeCell ref="A58:D58"/>
    <mergeCell ref="A54:D54"/>
  </mergeCells>
  <phoneticPr fontId="0" type="noConversion"/>
  <dataValidations count="2">
    <dataValidation type="list" allowBlank="1" showInputMessage="1" showErrorMessage="1" sqref="B8:D8" xr:uid="{00000000-0002-0000-0000-000000000000}">
      <formula1>ListBauvorhaben</formula1>
    </dataValidation>
    <dataValidation type="list" allowBlank="1" showInputMessage="1" showErrorMessage="1" sqref="B11 C11 D11" xr:uid="{F0411810-CC21-48B4-A22A-CACF65A65A6F}">
      <formula1>ListNutzung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R40"/>
  <sheetViews>
    <sheetView showGridLines="0" workbookViewId="0">
      <selection activeCell="B5" sqref="B5"/>
    </sheetView>
  </sheetViews>
  <sheetFormatPr baseColWidth="10" defaultColWidth="11.5625" defaultRowHeight="12.45" x14ac:dyDescent="0.3"/>
  <cols>
    <col min="1" max="1" width="2.6875" style="26" customWidth="1"/>
    <col min="2" max="2" width="5.3125" style="26" customWidth="1"/>
    <col min="3" max="3" width="17.6875" style="238" customWidth="1"/>
    <col min="4" max="5" width="5.3125" style="243" customWidth="1"/>
    <col min="6" max="6" width="7.25" style="243" bestFit="1" customWidth="1"/>
    <col min="7" max="7" width="6.0625" style="243" customWidth="1"/>
    <col min="8" max="8" width="7.3125" style="243" bestFit="1" customWidth="1"/>
    <col min="9" max="9" width="8.4375" style="243" bestFit="1" customWidth="1"/>
    <col min="10" max="10" width="6.5625" style="243" bestFit="1" customWidth="1"/>
    <col min="11" max="11" width="32.25" style="238" customWidth="1"/>
    <col min="12" max="12" width="31.5625" style="238" customWidth="1"/>
    <col min="13" max="13" width="41" style="238" customWidth="1"/>
    <col min="14" max="18" width="10.4375" style="212" hidden="1" customWidth="1"/>
    <col min="19" max="16384" width="11.5625" style="26"/>
  </cols>
  <sheetData>
    <row r="1" spans="1:18" ht="28.5" customHeight="1" x14ac:dyDescent="0.3">
      <c r="A1" s="111" t="str">
        <f>IF(Projektbez="","",Projektbez&amp;" – ")&amp;Texte!B43</f>
        <v>Fensterdaten</v>
      </c>
    </row>
    <row r="2" spans="1:18" ht="9" customHeight="1" x14ac:dyDescent="0.3">
      <c r="B2" s="149">
        <v>1</v>
      </c>
      <c r="C2" s="239">
        <v>2</v>
      </c>
      <c r="D2" s="244">
        <v>3</v>
      </c>
      <c r="E2" s="244">
        <v>4</v>
      </c>
      <c r="F2" s="244">
        <v>5</v>
      </c>
      <c r="G2" s="244">
        <v>6</v>
      </c>
      <c r="H2" s="244">
        <v>7</v>
      </c>
      <c r="I2" s="244">
        <v>8</v>
      </c>
      <c r="J2" s="244">
        <v>9</v>
      </c>
      <c r="K2" s="239">
        <v>10</v>
      </c>
      <c r="L2" s="239">
        <v>11</v>
      </c>
      <c r="M2" s="239">
        <v>12</v>
      </c>
      <c r="N2" s="246">
        <v>13</v>
      </c>
      <c r="O2" s="246">
        <v>14</v>
      </c>
      <c r="P2" s="246">
        <v>15</v>
      </c>
      <c r="Q2" s="246">
        <v>16</v>
      </c>
      <c r="R2" s="246">
        <v>17</v>
      </c>
    </row>
    <row r="3" spans="1:18" ht="18.75" customHeight="1" x14ac:dyDescent="0.3">
      <c r="A3" s="150"/>
      <c r="B3" s="277" t="str">
        <f>VLOOKUP(ADDRESS(ROW(),COLUMN(),4),MatrixTexteT2,2,FALSE)</f>
        <v>Fensterdaten</v>
      </c>
      <c r="C3" s="278"/>
      <c r="D3" s="278"/>
      <c r="E3" s="278"/>
      <c r="F3" s="278"/>
      <c r="G3" s="278"/>
      <c r="H3" s="278"/>
      <c r="I3" s="278"/>
      <c r="J3" s="279"/>
      <c r="K3" s="280" t="str">
        <f>VLOOKUP(ADDRESS(ROW(),COLUMN(),4),MatrixTexteT2,2,FALSE)</f>
        <v>Sonnenschutz und Verschattung</v>
      </c>
      <c r="L3" s="281"/>
      <c r="M3" s="282"/>
      <c r="N3" s="283" t="s">
        <v>144</v>
      </c>
      <c r="O3" s="284"/>
      <c r="P3" s="284"/>
      <c r="Q3" s="284"/>
      <c r="R3" s="284"/>
    </row>
    <row r="4" spans="1:18" ht="45.75" customHeight="1" thickBot="1" x14ac:dyDescent="0.45">
      <c r="A4" s="171" t="s">
        <v>658</v>
      </c>
      <c r="B4" s="151" t="str">
        <f>VLOOKUP(ADDRESS(ROW(),COLUMN(),4),MatrixTexteT2,2,FALSE)</f>
        <v>Kürzel
-</v>
      </c>
      <c r="C4" s="240" t="str">
        <f t="shared" ref="C4:J4" si="0">VLOOKUP(ADDRESS(ROW(),COLUMN(),4),MatrixTexteT2,2,FALSE)</f>
        <v>Bezeichnung
-</v>
      </c>
      <c r="D4" s="152" t="str">
        <f t="shared" si="0"/>
        <v>Breite
m</v>
      </c>
      <c r="E4" s="152" t="str">
        <f t="shared" si="0"/>
        <v>Höhe
m</v>
      </c>
      <c r="F4" s="152" t="str">
        <f t="shared" si="0"/>
        <v>Glasanteil
%</v>
      </c>
      <c r="G4" s="152" t="str">
        <f t="shared" si="0"/>
        <v>Tau
%</v>
      </c>
      <c r="H4" s="152" t="str">
        <f t="shared" si="0"/>
        <v>Sturzhöhe
m</v>
      </c>
      <c r="I4" s="152" t="str">
        <f t="shared" si="0"/>
        <v>Auskragung
m</v>
      </c>
      <c r="J4" s="152" t="str">
        <f t="shared" si="0"/>
        <v>Oberlicht
-</v>
      </c>
      <c r="K4" s="240" t="str">
        <f>VLOOKUP(ADDRESS(ROW(),COLUMN(),4),MatrixTexteT2,2,FALSE)</f>
        <v>Typ
-</v>
      </c>
      <c r="L4" s="240" t="str">
        <f>VLOOKUP(ADDRESS(ROW(),COLUMN(),4),MatrixTexteT2,2,FALSE)</f>
        <v>Steuerung
-</v>
      </c>
      <c r="M4" s="240" t="str">
        <f>VLOOKUP(ADDRESS(ROW(),COLUMN(),4),MatrixTexteT2,2,FALSE)</f>
        <v>Verschattung
-</v>
      </c>
      <c r="N4" s="247" t="s">
        <v>141</v>
      </c>
      <c r="O4" s="247" t="s">
        <v>75</v>
      </c>
      <c r="P4" s="247" t="s">
        <v>79</v>
      </c>
      <c r="Q4" s="247" t="s">
        <v>111</v>
      </c>
      <c r="R4" s="248" t="s">
        <v>142</v>
      </c>
    </row>
    <row r="5" spans="1:18" ht="13.3" thickTop="1" thickBot="1" x14ac:dyDescent="0.35">
      <c r="A5" s="153">
        <v>1</v>
      </c>
      <c r="B5" s="155" t="s">
        <v>1110</v>
      </c>
      <c r="C5" s="155"/>
      <c r="D5" s="156"/>
      <c r="E5" s="175"/>
      <c r="F5" s="157"/>
      <c r="G5" s="157"/>
      <c r="H5" s="156"/>
      <c r="I5" s="158"/>
      <c r="J5" s="159"/>
      <c r="K5" s="160"/>
      <c r="L5" s="160"/>
      <c r="M5" s="160"/>
      <c r="N5" s="249">
        <f t="shared" ref="N5:N39" si="1">IF(J5=Ja,ROUND(D5*E5*F5*2,2),ROUND(D5*E5*F5,2))</f>
        <v>0</v>
      </c>
      <c r="O5" s="250">
        <f t="shared" ref="O5:O39" si="2">IF(K5="",0,VLOOKUP(K5,MatrixSoSchu,2,FALSE))</f>
        <v>0</v>
      </c>
      <c r="P5" s="250">
        <f t="shared" ref="P5:P39" si="3">IF(L5="",0,VLOOKUP(L5,MatrixSoControl,2,FALSE))</f>
        <v>0</v>
      </c>
      <c r="Q5" s="250">
        <f t="shared" ref="Q5:Q39" si="4">IF(M5="",0,VLOOKUP(M5,MatrixHorizont,2,FALSE))</f>
        <v>0</v>
      </c>
      <c r="R5" s="250">
        <f>ROUND(IF(I5&gt;2,2,1/(1-(0.25*I5))),2)</f>
        <v>1</v>
      </c>
    </row>
    <row r="6" spans="1:18" ht="13.3" thickTop="1" thickBot="1" x14ac:dyDescent="0.35">
      <c r="A6" s="154">
        <v>2</v>
      </c>
      <c r="B6" s="161"/>
      <c r="C6" s="161"/>
      <c r="D6" s="162"/>
      <c r="E6" s="176"/>
      <c r="F6" s="163"/>
      <c r="G6" s="163"/>
      <c r="H6" s="162"/>
      <c r="I6" s="164"/>
      <c r="J6" s="159"/>
      <c r="K6" s="160"/>
      <c r="L6" s="160"/>
      <c r="M6" s="160"/>
      <c r="N6" s="249">
        <f t="shared" si="1"/>
        <v>0</v>
      </c>
      <c r="O6" s="251">
        <f t="shared" si="2"/>
        <v>0</v>
      </c>
      <c r="P6" s="251">
        <f t="shared" si="3"/>
        <v>0</v>
      </c>
      <c r="Q6" s="251">
        <f t="shared" si="4"/>
        <v>0</v>
      </c>
      <c r="R6" s="251">
        <f t="shared" ref="R6:R39" si="5">ROUND(IF(I6&gt;2,2,1/(1-(0.25*I6))),2)</f>
        <v>1</v>
      </c>
    </row>
    <row r="7" spans="1:18" ht="13.3" thickTop="1" thickBot="1" x14ac:dyDescent="0.35">
      <c r="A7" s="154">
        <v>3</v>
      </c>
      <c r="B7" s="161"/>
      <c r="C7" s="161"/>
      <c r="D7" s="162"/>
      <c r="E7" s="176"/>
      <c r="F7" s="163"/>
      <c r="G7" s="163"/>
      <c r="H7" s="162"/>
      <c r="I7" s="164"/>
      <c r="J7" s="159"/>
      <c r="K7" s="160"/>
      <c r="L7" s="160"/>
      <c r="M7" s="160"/>
      <c r="N7" s="249">
        <f t="shared" si="1"/>
        <v>0</v>
      </c>
      <c r="O7" s="251">
        <f t="shared" si="2"/>
        <v>0</v>
      </c>
      <c r="P7" s="251">
        <f t="shared" si="3"/>
        <v>0</v>
      </c>
      <c r="Q7" s="251">
        <f t="shared" si="4"/>
        <v>0</v>
      </c>
      <c r="R7" s="251">
        <f t="shared" si="5"/>
        <v>1</v>
      </c>
    </row>
    <row r="8" spans="1:18" ht="13.3" thickTop="1" thickBot="1" x14ac:dyDescent="0.35">
      <c r="A8" s="154">
        <v>4</v>
      </c>
      <c r="B8" s="161"/>
      <c r="C8" s="161"/>
      <c r="D8" s="162"/>
      <c r="E8" s="176"/>
      <c r="F8" s="163"/>
      <c r="G8" s="163"/>
      <c r="H8" s="162"/>
      <c r="I8" s="164"/>
      <c r="J8" s="159"/>
      <c r="K8" s="160"/>
      <c r="L8" s="160"/>
      <c r="M8" s="160"/>
      <c r="N8" s="249">
        <f t="shared" si="1"/>
        <v>0</v>
      </c>
      <c r="O8" s="251">
        <f t="shared" si="2"/>
        <v>0</v>
      </c>
      <c r="P8" s="251">
        <f t="shared" si="3"/>
        <v>0</v>
      </c>
      <c r="Q8" s="251">
        <f t="shared" si="4"/>
        <v>0</v>
      </c>
      <c r="R8" s="251">
        <f t="shared" si="5"/>
        <v>1</v>
      </c>
    </row>
    <row r="9" spans="1:18" ht="13.3" thickTop="1" thickBot="1" x14ac:dyDescent="0.35">
      <c r="A9" s="154">
        <v>5</v>
      </c>
      <c r="B9" s="161"/>
      <c r="C9" s="161"/>
      <c r="D9" s="162"/>
      <c r="E9" s="176"/>
      <c r="F9" s="163"/>
      <c r="G9" s="163"/>
      <c r="H9" s="162"/>
      <c r="I9" s="164"/>
      <c r="J9" s="159"/>
      <c r="K9" s="160"/>
      <c r="L9" s="160"/>
      <c r="M9" s="160"/>
      <c r="N9" s="249">
        <f t="shared" si="1"/>
        <v>0</v>
      </c>
      <c r="O9" s="251">
        <f t="shared" si="2"/>
        <v>0</v>
      </c>
      <c r="P9" s="251">
        <f t="shared" si="3"/>
        <v>0</v>
      </c>
      <c r="Q9" s="251">
        <f t="shared" si="4"/>
        <v>0</v>
      </c>
      <c r="R9" s="251">
        <f t="shared" si="5"/>
        <v>1</v>
      </c>
    </row>
    <row r="10" spans="1:18" ht="13.3" thickTop="1" thickBot="1" x14ac:dyDescent="0.35">
      <c r="A10" s="154">
        <v>6</v>
      </c>
      <c r="B10" s="161"/>
      <c r="C10" s="161"/>
      <c r="D10" s="162"/>
      <c r="E10" s="176"/>
      <c r="F10" s="163"/>
      <c r="G10" s="163"/>
      <c r="H10" s="162"/>
      <c r="I10" s="164"/>
      <c r="J10" s="159"/>
      <c r="K10" s="160"/>
      <c r="L10" s="160"/>
      <c r="M10" s="160"/>
      <c r="N10" s="249">
        <f t="shared" si="1"/>
        <v>0</v>
      </c>
      <c r="O10" s="251">
        <f t="shared" si="2"/>
        <v>0</v>
      </c>
      <c r="P10" s="251">
        <f t="shared" si="3"/>
        <v>0</v>
      </c>
      <c r="Q10" s="251">
        <f t="shared" si="4"/>
        <v>0</v>
      </c>
      <c r="R10" s="251">
        <f t="shared" si="5"/>
        <v>1</v>
      </c>
    </row>
    <row r="11" spans="1:18" ht="13.3" thickTop="1" thickBot="1" x14ac:dyDescent="0.35">
      <c r="A11" s="154">
        <v>7</v>
      </c>
      <c r="B11" s="161"/>
      <c r="C11" s="161"/>
      <c r="D11" s="162"/>
      <c r="E11" s="176"/>
      <c r="F11" s="163"/>
      <c r="G11" s="163"/>
      <c r="H11" s="162"/>
      <c r="I11" s="164"/>
      <c r="J11" s="159"/>
      <c r="K11" s="160"/>
      <c r="L11" s="160"/>
      <c r="M11" s="160"/>
      <c r="N11" s="249">
        <f t="shared" si="1"/>
        <v>0</v>
      </c>
      <c r="O11" s="251">
        <f t="shared" si="2"/>
        <v>0</v>
      </c>
      <c r="P11" s="251">
        <f t="shared" si="3"/>
        <v>0</v>
      </c>
      <c r="Q11" s="251">
        <f t="shared" si="4"/>
        <v>0</v>
      </c>
      <c r="R11" s="251">
        <f t="shared" si="5"/>
        <v>1</v>
      </c>
    </row>
    <row r="12" spans="1:18" ht="13.3" thickTop="1" thickBot="1" x14ac:dyDescent="0.35">
      <c r="A12" s="154">
        <v>8</v>
      </c>
      <c r="B12" s="161"/>
      <c r="C12" s="161"/>
      <c r="D12" s="162"/>
      <c r="E12" s="176"/>
      <c r="F12" s="163"/>
      <c r="G12" s="163"/>
      <c r="H12" s="162"/>
      <c r="I12" s="164"/>
      <c r="J12" s="159"/>
      <c r="K12" s="160"/>
      <c r="L12" s="160"/>
      <c r="M12" s="160"/>
      <c r="N12" s="249">
        <f t="shared" si="1"/>
        <v>0</v>
      </c>
      <c r="O12" s="251">
        <f t="shared" si="2"/>
        <v>0</v>
      </c>
      <c r="P12" s="251">
        <f t="shared" si="3"/>
        <v>0</v>
      </c>
      <c r="Q12" s="251">
        <f t="shared" si="4"/>
        <v>0</v>
      </c>
      <c r="R12" s="251">
        <f t="shared" si="5"/>
        <v>1</v>
      </c>
    </row>
    <row r="13" spans="1:18" ht="13.3" thickTop="1" thickBot="1" x14ac:dyDescent="0.35">
      <c r="A13" s="154">
        <v>9</v>
      </c>
      <c r="B13" s="161"/>
      <c r="C13" s="161"/>
      <c r="D13" s="162"/>
      <c r="E13" s="176"/>
      <c r="F13" s="163"/>
      <c r="G13" s="163"/>
      <c r="H13" s="162"/>
      <c r="I13" s="164"/>
      <c r="J13" s="159"/>
      <c r="K13" s="160"/>
      <c r="L13" s="160"/>
      <c r="M13" s="160"/>
      <c r="N13" s="249">
        <f t="shared" si="1"/>
        <v>0</v>
      </c>
      <c r="O13" s="251">
        <f t="shared" si="2"/>
        <v>0</v>
      </c>
      <c r="P13" s="251">
        <f t="shared" si="3"/>
        <v>0</v>
      </c>
      <c r="Q13" s="251">
        <f t="shared" si="4"/>
        <v>0</v>
      </c>
      <c r="R13" s="251">
        <f t="shared" si="5"/>
        <v>1</v>
      </c>
    </row>
    <row r="14" spans="1:18" ht="13.3" thickTop="1" thickBot="1" x14ac:dyDescent="0.35">
      <c r="A14" s="154">
        <v>10</v>
      </c>
      <c r="B14" s="161"/>
      <c r="C14" s="161"/>
      <c r="D14" s="162"/>
      <c r="E14" s="176"/>
      <c r="F14" s="163"/>
      <c r="G14" s="163"/>
      <c r="H14" s="162"/>
      <c r="I14" s="164"/>
      <c r="J14" s="159"/>
      <c r="K14" s="160"/>
      <c r="L14" s="160"/>
      <c r="M14" s="160"/>
      <c r="N14" s="249">
        <f t="shared" si="1"/>
        <v>0</v>
      </c>
      <c r="O14" s="251">
        <f t="shared" si="2"/>
        <v>0</v>
      </c>
      <c r="P14" s="251">
        <f t="shared" si="3"/>
        <v>0</v>
      </c>
      <c r="Q14" s="251">
        <f t="shared" si="4"/>
        <v>0</v>
      </c>
      <c r="R14" s="251">
        <f t="shared" si="5"/>
        <v>1</v>
      </c>
    </row>
    <row r="15" spans="1:18" ht="13.3" thickTop="1" thickBot="1" x14ac:dyDescent="0.35">
      <c r="A15" s="154">
        <v>11</v>
      </c>
      <c r="B15" s="161"/>
      <c r="C15" s="161"/>
      <c r="D15" s="162"/>
      <c r="E15" s="176"/>
      <c r="F15" s="163"/>
      <c r="G15" s="163"/>
      <c r="H15" s="162"/>
      <c r="I15" s="164"/>
      <c r="J15" s="159"/>
      <c r="K15" s="160"/>
      <c r="L15" s="160"/>
      <c r="M15" s="160"/>
      <c r="N15" s="249">
        <f t="shared" si="1"/>
        <v>0</v>
      </c>
      <c r="O15" s="251">
        <f t="shared" si="2"/>
        <v>0</v>
      </c>
      <c r="P15" s="251">
        <f t="shared" si="3"/>
        <v>0</v>
      </c>
      <c r="Q15" s="251">
        <f t="shared" si="4"/>
        <v>0</v>
      </c>
      <c r="R15" s="251">
        <f t="shared" si="5"/>
        <v>1</v>
      </c>
    </row>
    <row r="16" spans="1:18" ht="13.3" thickTop="1" thickBot="1" x14ac:dyDescent="0.35">
      <c r="A16" s="154">
        <v>12</v>
      </c>
      <c r="B16" s="161"/>
      <c r="C16" s="161"/>
      <c r="D16" s="162"/>
      <c r="E16" s="176"/>
      <c r="F16" s="163"/>
      <c r="G16" s="163"/>
      <c r="H16" s="162"/>
      <c r="I16" s="164"/>
      <c r="J16" s="159"/>
      <c r="K16" s="160"/>
      <c r="L16" s="160"/>
      <c r="M16" s="160"/>
      <c r="N16" s="249">
        <f t="shared" si="1"/>
        <v>0</v>
      </c>
      <c r="O16" s="251">
        <f t="shared" si="2"/>
        <v>0</v>
      </c>
      <c r="P16" s="251">
        <f t="shared" si="3"/>
        <v>0</v>
      </c>
      <c r="Q16" s="251">
        <f t="shared" si="4"/>
        <v>0</v>
      </c>
      <c r="R16" s="251">
        <f t="shared" si="5"/>
        <v>1</v>
      </c>
    </row>
    <row r="17" spans="1:18" ht="13.3" thickTop="1" thickBot="1" x14ac:dyDescent="0.35">
      <c r="A17" s="154">
        <v>13</v>
      </c>
      <c r="B17" s="161"/>
      <c r="C17" s="161"/>
      <c r="D17" s="162"/>
      <c r="E17" s="176"/>
      <c r="F17" s="163"/>
      <c r="G17" s="163"/>
      <c r="H17" s="162"/>
      <c r="I17" s="164"/>
      <c r="J17" s="159"/>
      <c r="K17" s="160"/>
      <c r="L17" s="160"/>
      <c r="M17" s="160"/>
      <c r="N17" s="249">
        <f t="shared" si="1"/>
        <v>0</v>
      </c>
      <c r="O17" s="251">
        <f t="shared" si="2"/>
        <v>0</v>
      </c>
      <c r="P17" s="251">
        <f t="shared" si="3"/>
        <v>0</v>
      </c>
      <c r="Q17" s="251">
        <f t="shared" si="4"/>
        <v>0</v>
      </c>
      <c r="R17" s="251">
        <f t="shared" si="5"/>
        <v>1</v>
      </c>
    </row>
    <row r="18" spans="1:18" ht="13.3" thickTop="1" thickBot="1" x14ac:dyDescent="0.35">
      <c r="A18" s="154">
        <v>14</v>
      </c>
      <c r="B18" s="161"/>
      <c r="C18" s="161"/>
      <c r="D18" s="162"/>
      <c r="E18" s="176"/>
      <c r="F18" s="163"/>
      <c r="G18" s="163"/>
      <c r="H18" s="162"/>
      <c r="I18" s="164"/>
      <c r="J18" s="159"/>
      <c r="K18" s="160"/>
      <c r="L18" s="160"/>
      <c r="M18" s="160"/>
      <c r="N18" s="249">
        <f t="shared" si="1"/>
        <v>0</v>
      </c>
      <c r="O18" s="251">
        <f t="shared" si="2"/>
        <v>0</v>
      </c>
      <c r="P18" s="251">
        <f t="shared" si="3"/>
        <v>0</v>
      </c>
      <c r="Q18" s="251">
        <f t="shared" si="4"/>
        <v>0</v>
      </c>
      <c r="R18" s="251">
        <f t="shared" si="5"/>
        <v>1</v>
      </c>
    </row>
    <row r="19" spans="1:18" ht="13.3" thickTop="1" thickBot="1" x14ac:dyDescent="0.35">
      <c r="A19" s="154">
        <v>15</v>
      </c>
      <c r="B19" s="161"/>
      <c r="C19" s="161"/>
      <c r="D19" s="162"/>
      <c r="E19" s="176"/>
      <c r="F19" s="163"/>
      <c r="G19" s="163"/>
      <c r="H19" s="162"/>
      <c r="I19" s="164"/>
      <c r="J19" s="159"/>
      <c r="K19" s="160"/>
      <c r="L19" s="160"/>
      <c r="M19" s="160"/>
      <c r="N19" s="249">
        <f t="shared" si="1"/>
        <v>0</v>
      </c>
      <c r="O19" s="251">
        <f t="shared" si="2"/>
        <v>0</v>
      </c>
      <c r="P19" s="251">
        <f t="shared" si="3"/>
        <v>0</v>
      </c>
      <c r="Q19" s="251">
        <f t="shared" si="4"/>
        <v>0</v>
      </c>
      <c r="R19" s="251">
        <f t="shared" si="5"/>
        <v>1</v>
      </c>
    </row>
    <row r="20" spans="1:18" ht="13.3" thickTop="1" thickBot="1" x14ac:dyDescent="0.35">
      <c r="A20" s="154">
        <v>16</v>
      </c>
      <c r="B20" s="161"/>
      <c r="C20" s="161"/>
      <c r="D20" s="162"/>
      <c r="E20" s="176"/>
      <c r="F20" s="163"/>
      <c r="G20" s="163"/>
      <c r="H20" s="162"/>
      <c r="I20" s="164"/>
      <c r="J20" s="159"/>
      <c r="K20" s="160"/>
      <c r="L20" s="160"/>
      <c r="M20" s="160"/>
      <c r="N20" s="249">
        <f t="shared" si="1"/>
        <v>0</v>
      </c>
      <c r="O20" s="251">
        <f t="shared" si="2"/>
        <v>0</v>
      </c>
      <c r="P20" s="251">
        <f t="shared" si="3"/>
        <v>0</v>
      </c>
      <c r="Q20" s="251">
        <f t="shared" si="4"/>
        <v>0</v>
      </c>
      <c r="R20" s="251">
        <f t="shared" si="5"/>
        <v>1</v>
      </c>
    </row>
    <row r="21" spans="1:18" ht="13.3" thickTop="1" thickBot="1" x14ac:dyDescent="0.35">
      <c r="A21" s="154">
        <v>17</v>
      </c>
      <c r="B21" s="161"/>
      <c r="C21" s="161"/>
      <c r="D21" s="162"/>
      <c r="E21" s="176"/>
      <c r="F21" s="163"/>
      <c r="G21" s="163"/>
      <c r="H21" s="162"/>
      <c r="I21" s="164"/>
      <c r="J21" s="159"/>
      <c r="K21" s="160"/>
      <c r="L21" s="160"/>
      <c r="M21" s="160"/>
      <c r="N21" s="249">
        <f t="shared" si="1"/>
        <v>0</v>
      </c>
      <c r="O21" s="251">
        <f t="shared" si="2"/>
        <v>0</v>
      </c>
      <c r="P21" s="251">
        <f t="shared" si="3"/>
        <v>0</v>
      </c>
      <c r="Q21" s="251">
        <f t="shared" si="4"/>
        <v>0</v>
      </c>
      <c r="R21" s="251">
        <f t="shared" si="5"/>
        <v>1</v>
      </c>
    </row>
    <row r="22" spans="1:18" ht="13.3" thickTop="1" thickBot="1" x14ac:dyDescent="0.35">
      <c r="A22" s="154">
        <v>18</v>
      </c>
      <c r="B22" s="161"/>
      <c r="C22" s="161"/>
      <c r="D22" s="162"/>
      <c r="E22" s="176"/>
      <c r="F22" s="163"/>
      <c r="G22" s="163"/>
      <c r="H22" s="162"/>
      <c r="I22" s="164"/>
      <c r="J22" s="159"/>
      <c r="K22" s="160"/>
      <c r="L22" s="160"/>
      <c r="M22" s="160"/>
      <c r="N22" s="249">
        <f t="shared" si="1"/>
        <v>0</v>
      </c>
      <c r="O22" s="251">
        <f t="shared" si="2"/>
        <v>0</v>
      </c>
      <c r="P22" s="251">
        <f t="shared" si="3"/>
        <v>0</v>
      </c>
      <c r="Q22" s="251">
        <f t="shared" si="4"/>
        <v>0</v>
      </c>
      <c r="R22" s="251">
        <f t="shared" si="5"/>
        <v>1</v>
      </c>
    </row>
    <row r="23" spans="1:18" ht="13.3" thickTop="1" thickBot="1" x14ac:dyDescent="0.35">
      <c r="A23" s="154">
        <v>19</v>
      </c>
      <c r="B23" s="155"/>
      <c r="C23" s="241"/>
      <c r="D23" s="156"/>
      <c r="E23" s="175"/>
      <c r="F23" s="157"/>
      <c r="G23" s="157"/>
      <c r="H23" s="156"/>
      <c r="I23" s="158"/>
      <c r="J23" s="159"/>
      <c r="K23" s="245"/>
      <c r="L23" s="245"/>
      <c r="M23" s="245"/>
      <c r="N23" s="249">
        <f t="shared" si="1"/>
        <v>0</v>
      </c>
      <c r="O23" s="251">
        <f t="shared" si="2"/>
        <v>0</v>
      </c>
      <c r="P23" s="251">
        <f t="shared" si="3"/>
        <v>0</v>
      </c>
      <c r="Q23" s="251">
        <f t="shared" si="4"/>
        <v>0</v>
      </c>
      <c r="R23" s="251">
        <f t="shared" si="5"/>
        <v>1</v>
      </c>
    </row>
    <row r="24" spans="1:18" ht="13.3" thickTop="1" thickBot="1" x14ac:dyDescent="0.35">
      <c r="A24" s="154">
        <v>20</v>
      </c>
      <c r="B24" s="161"/>
      <c r="C24" s="242"/>
      <c r="D24" s="162"/>
      <c r="E24" s="176"/>
      <c r="F24" s="163"/>
      <c r="G24" s="163"/>
      <c r="H24" s="162"/>
      <c r="I24" s="164"/>
      <c r="J24" s="159"/>
      <c r="K24" s="245"/>
      <c r="L24" s="245"/>
      <c r="M24" s="245"/>
      <c r="N24" s="249">
        <f t="shared" si="1"/>
        <v>0</v>
      </c>
      <c r="O24" s="251">
        <f t="shared" si="2"/>
        <v>0</v>
      </c>
      <c r="P24" s="251">
        <f t="shared" si="3"/>
        <v>0</v>
      </c>
      <c r="Q24" s="251">
        <f t="shared" si="4"/>
        <v>0</v>
      </c>
      <c r="R24" s="251">
        <f t="shared" si="5"/>
        <v>1</v>
      </c>
    </row>
    <row r="25" spans="1:18" ht="13.3" thickTop="1" thickBot="1" x14ac:dyDescent="0.35">
      <c r="A25" s="154">
        <v>21</v>
      </c>
      <c r="B25" s="161"/>
      <c r="C25" s="242"/>
      <c r="D25" s="162"/>
      <c r="E25" s="176"/>
      <c r="F25" s="163"/>
      <c r="G25" s="163"/>
      <c r="H25" s="162"/>
      <c r="I25" s="164"/>
      <c r="J25" s="159"/>
      <c r="K25" s="245"/>
      <c r="L25" s="245"/>
      <c r="M25" s="245"/>
      <c r="N25" s="249">
        <f t="shared" si="1"/>
        <v>0</v>
      </c>
      <c r="O25" s="251">
        <f t="shared" si="2"/>
        <v>0</v>
      </c>
      <c r="P25" s="251">
        <f t="shared" si="3"/>
        <v>0</v>
      </c>
      <c r="Q25" s="251">
        <f t="shared" si="4"/>
        <v>0</v>
      </c>
      <c r="R25" s="251">
        <f t="shared" si="5"/>
        <v>1</v>
      </c>
    </row>
    <row r="26" spans="1:18" ht="13.3" thickTop="1" thickBot="1" x14ac:dyDescent="0.35">
      <c r="A26" s="154">
        <v>22</v>
      </c>
      <c r="B26" s="161"/>
      <c r="C26" s="242"/>
      <c r="D26" s="162"/>
      <c r="E26" s="176"/>
      <c r="F26" s="163"/>
      <c r="G26" s="163"/>
      <c r="H26" s="162"/>
      <c r="I26" s="164"/>
      <c r="J26" s="159"/>
      <c r="K26" s="245"/>
      <c r="L26" s="245"/>
      <c r="M26" s="245"/>
      <c r="N26" s="249">
        <f t="shared" si="1"/>
        <v>0</v>
      </c>
      <c r="O26" s="251">
        <f t="shared" si="2"/>
        <v>0</v>
      </c>
      <c r="P26" s="251">
        <f t="shared" si="3"/>
        <v>0</v>
      </c>
      <c r="Q26" s="251">
        <f t="shared" si="4"/>
        <v>0</v>
      </c>
      <c r="R26" s="251">
        <f t="shared" si="5"/>
        <v>1</v>
      </c>
    </row>
    <row r="27" spans="1:18" ht="13.3" thickTop="1" thickBot="1" x14ac:dyDescent="0.35">
      <c r="A27" s="154">
        <v>23</v>
      </c>
      <c r="B27" s="161"/>
      <c r="C27" s="242"/>
      <c r="D27" s="162"/>
      <c r="E27" s="176"/>
      <c r="F27" s="163"/>
      <c r="G27" s="163"/>
      <c r="H27" s="162"/>
      <c r="I27" s="164"/>
      <c r="J27" s="159"/>
      <c r="K27" s="245"/>
      <c r="L27" s="245"/>
      <c r="M27" s="245"/>
      <c r="N27" s="249">
        <f t="shared" si="1"/>
        <v>0</v>
      </c>
      <c r="O27" s="251">
        <f t="shared" si="2"/>
        <v>0</v>
      </c>
      <c r="P27" s="251">
        <f t="shared" si="3"/>
        <v>0</v>
      </c>
      <c r="Q27" s="251">
        <f t="shared" si="4"/>
        <v>0</v>
      </c>
      <c r="R27" s="251">
        <f t="shared" si="5"/>
        <v>1</v>
      </c>
    </row>
    <row r="28" spans="1:18" ht="13.3" thickTop="1" thickBot="1" x14ac:dyDescent="0.35">
      <c r="A28" s="154">
        <v>24</v>
      </c>
      <c r="B28" s="161"/>
      <c r="C28" s="242"/>
      <c r="D28" s="162"/>
      <c r="E28" s="176"/>
      <c r="F28" s="163"/>
      <c r="G28" s="163"/>
      <c r="H28" s="162"/>
      <c r="I28" s="164"/>
      <c r="J28" s="159"/>
      <c r="K28" s="245"/>
      <c r="L28" s="245"/>
      <c r="M28" s="245"/>
      <c r="N28" s="249">
        <f t="shared" si="1"/>
        <v>0</v>
      </c>
      <c r="O28" s="251">
        <f t="shared" si="2"/>
        <v>0</v>
      </c>
      <c r="P28" s="251">
        <f t="shared" si="3"/>
        <v>0</v>
      </c>
      <c r="Q28" s="251">
        <f t="shared" si="4"/>
        <v>0</v>
      </c>
      <c r="R28" s="251">
        <f t="shared" si="5"/>
        <v>1</v>
      </c>
    </row>
    <row r="29" spans="1:18" ht="13.3" thickTop="1" thickBot="1" x14ac:dyDescent="0.35">
      <c r="A29" s="154">
        <v>25</v>
      </c>
      <c r="B29" s="161"/>
      <c r="C29" s="242"/>
      <c r="D29" s="162"/>
      <c r="E29" s="176"/>
      <c r="F29" s="163"/>
      <c r="G29" s="163"/>
      <c r="H29" s="162"/>
      <c r="I29" s="164"/>
      <c r="J29" s="159"/>
      <c r="K29" s="245"/>
      <c r="L29" s="245"/>
      <c r="M29" s="245"/>
      <c r="N29" s="249">
        <f t="shared" si="1"/>
        <v>0</v>
      </c>
      <c r="O29" s="251">
        <f t="shared" si="2"/>
        <v>0</v>
      </c>
      <c r="P29" s="251">
        <f t="shared" si="3"/>
        <v>0</v>
      </c>
      <c r="Q29" s="251">
        <f t="shared" si="4"/>
        <v>0</v>
      </c>
      <c r="R29" s="251">
        <f t="shared" si="5"/>
        <v>1</v>
      </c>
    </row>
    <row r="30" spans="1:18" ht="13.3" thickTop="1" thickBot="1" x14ac:dyDescent="0.35">
      <c r="A30" s="154">
        <v>26</v>
      </c>
      <c r="B30" s="161"/>
      <c r="C30" s="242"/>
      <c r="D30" s="162"/>
      <c r="E30" s="176"/>
      <c r="F30" s="163"/>
      <c r="G30" s="163"/>
      <c r="H30" s="162"/>
      <c r="I30" s="164"/>
      <c r="J30" s="159"/>
      <c r="K30" s="245"/>
      <c r="L30" s="245"/>
      <c r="M30" s="245"/>
      <c r="N30" s="249">
        <f t="shared" si="1"/>
        <v>0</v>
      </c>
      <c r="O30" s="251">
        <f t="shared" si="2"/>
        <v>0</v>
      </c>
      <c r="P30" s="251">
        <f t="shared" si="3"/>
        <v>0</v>
      </c>
      <c r="Q30" s="251">
        <f t="shared" si="4"/>
        <v>0</v>
      </c>
      <c r="R30" s="251">
        <f t="shared" si="5"/>
        <v>1</v>
      </c>
    </row>
    <row r="31" spans="1:18" ht="13.3" thickTop="1" thickBot="1" x14ac:dyDescent="0.35">
      <c r="A31" s="154">
        <v>27</v>
      </c>
      <c r="B31" s="161"/>
      <c r="C31" s="242"/>
      <c r="D31" s="162"/>
      <c r="E31" s="176"/>
      <c r="F31" s="163"/>
      <c r="G31" s="163"/>
      <c r="H31" s="162"/>
      <c r="I31" s="164"/>
      <c r="J31" s="159"/>
      <c r="K31" s="245"/>
      <c r="L31" s="245"/>
      <c r="M31" s="245"/>
      <c r="N31" s="249">
        <f t="shared" si="1"/>
        <v>0</v>
      </c>
      <c r="O31" s="251">
        <f t="shared" si="2"/>
        <v>0</v>
      </c>
      <c r="P31" s="251">
        <f t="shared" si="3"/>
        <v>0</v>
      </c>
      <c r="Q31" s="251">
        <f t="shared" si="4"/>
        <v>0</v>
      </c>
      <c r="R31" s="251">
        <f t="shared" si="5"/>
        <v>1</v>
      </c>
    </row>
    <row r="32" spans="1:18" ht="13.3" thickTop="1" thickBot="1" x14ac:dyDescent="0.35">
      <c r="A32" s="154">
        <v>28</v>
      </c>
      <c r="B32" s="161"/>
      <c r="C32" s="242"/>
      <c r="D32" s="162"/>
      <c r="E32" s="176"/>
      <c r="F32" s="163"/>
      <c r="G32" s="163"/>
      <c r="H32" s="162"/>
      <c r="I32" s="164"/>
      <c r="J32" s="159"/>
      <c r="K32" s="245"/>
      <c r="L32" s="245"/>
      <c r="M32" s="245"/>
      <c r="N32" s="249">
        <f t="shared" si="1"/>
        <v>0</v>
      </c>
      <c r="O32" s="251">
        <f t="shared" si="2"/>
        <v>0</v>
      </c>
      <c r="P32" s="251">
        <f t="shared" si="3"/>
        <v>0</v>
      </c>
      <c r="Q32" s="251">
        <f t="shared" si="4"/>
        <v>0</v>
      </c>
      <c r="R32" s="251">
        <f t="shared" si="5"/>
        <v>1</v>
      </c>
    </row>
    <row r="33" spans="1:18" ht="13.3" thickTop="1" thickBot="1" x14ac:dyDescent="0.35">
      <c r="A33" s="154">
        <v>29</v>
      </c>
      <c r="B33" s="161"/>
      <c r="C33" s="242"/>
      <c r="D33" s="162"/>
      <c r="E33" s="176"/>
      <c r="F33" s="163"/>
      <c r="G33" s="163"/>
      <c r="H33" s="162"/>
      <c r="I33" s="164"/>
      <c r="J33" s="159"/>
      <c r="K33" s="245"/>
      <c r="L33" s="245"/>
      <c r="M33" s="245"/>
      <c r="N33" s="249">
        <f t="shared" si="1"/>
        <v>0</v>
      </c>
      <c r="O33" s="251">
        <f t="shared" si="2"/>
        <v>0</v>
      </c>
      <c r="P33" s="251">
        <f t="shared" si="3"/>
        <v>0</v>
      </c>
      <c r="Q33" s="251">
        <f t="shared" si="4"/>
        <v>0</v>
      </c>
      <c r="R33" s="251">
        <f t="shared" si="5"/>
        <v>1</v>
      </c>
    </row>
    <row r="34" spans="1:18" ht="13.3" thickTop="1" thickBot="1" x14ac:dyDescent="0.35">
      <c r="A34" s="216">
        <v>30</v>
      </c>
      <c r="B34" s="161"/>
      <c r="C34" s="242"/>
      <c r="D34" s="162"/>
      <c r="E34" s="176"/>
      <c r="F34" s="163"/>
      <c r="G34" s="163"/>
      <c r="H34" s="162"/>
      <c r="I34" s="164"/>
      <c r="J34" s="159"/>
      <c r="K34" s="245"/>
      <c r="L34" s="245"/>
      <c r="M34" s="245"/>
      <c r="N34" s="249">
        <f t="shared" si="1"/>
        <v>0</v>
      </c>
      <c r="O34" s="252">
        <f t="shared" si="2"/>
        <v>0</v>
      </c>
      <c r="P34" s="252">
        <f t="shared" si="3"/>
        <v>0</v>
      </c>
      <c r="Q34" s="252">
        <f t="shared" si="4"/>
        <v>0</v>
      </c>
      <c r="R34" s="252">
        <f t="shared" si="5"/>
        <v>1</v>
      </c>
    </row>
    <row r="35" spans="1:18" ht="13.3" thickTop="1" thickBot="1" x14ac:dyDescent="0.35">
      <c r="A35" s="216">
        <v>31</v>
      </c>
      <c r="B35" s="161"/>
      <c r="C35" s="242"/>
      <c r="D35" s="162"/>
      <c r="E35" s="176"/>
      <c r="F35" s="163"/>
      <c r="G35" s="163"/>
      <c r="H35" s="162"/>
      <c r="I35" s="164"/>
      <c r="J35" s="159"/>
      <c r="K35" s="245"/>
      <c r="L35" s="245"/>
      <c r="M35" s="245"/>
      <c r="N35" s="249">
        <f t="shared" si="1"/>
        <v>0</v>
      </c>
      <c r="O35" s="252">
        <f t="shared" si="2"/>
        <v>0</v>
      </c>
      <c r="P35" s="252">
        <f t="shared" si="3"/>
        <v>0</v>
      </c>
      <c r="Q35" s="252">
        <f t="shared" si="4"/>
        <v>0</v>
      </c>
      <c r="R35" s="252">
        <f t="shared" si="5"/>
        <v>1</v>
      </c>
    </row>
    <row r="36" spans="1:18" ht="13.3" thickTop="1" thickBot="1" x14ac:dyDescent="0.35">
      <c r="A36" s="216">
        <v>32</v>
      </c>
      <c r="B36" s="161"/>
      <c r="C36" s="242"/>
      <c r="D36" s="162"/>
      <c r="E36" s="176"/>
      <c r="F36" s="163"/>
      <c r="G36" s="163"/>
      <c r="H36" s="162"/>
      <c r="I36" s="164"/>
      <c r="J36" s="159"/>
      <c r="K36" s="245"/>
      <c r="L36" s="245"/>
      <c r="M36" s="245"/>
      <c r="N36" s="249">
        <f t="shared" si="1"/>
        <v>0</v>
      </c>
      <c r="O36" s="252">
        <f t="shared" si="2"/>
        <v>0</v>
      </c>
      <c r="P36" s="252">
        <f t="shared" si="3"/>
        <v>0</v>
      </c>
      <c r="Q36" s="252">
        <f t="shared" si="4"/>
        <v>0</v>
      </c>
      <c r="R36" s="252">
        <f t="shared" si="5"/>
        <v>1</v>
      </c>
    </row>
    <row r="37" spans="1:18" ht="13.3" thickTop="1" thickBot="1" x14ac:dyDescent="0.35">
      <c r="A37" s="216">
        <v>33</v>
      </c>
      <c r="B37" s="161"/>
      <c r="C37" s="242"/>
      <c r="D37" s="162"/>
      <c r="E37" s="176"/>
      <c r="F37" s="163"/>
      <c r="G37" s="163"/>
      <c r="H37" s="162"/>
      <c r="I37" s="164"/>
      <c r="J37" s="159"/>
      <c r="K37" s="245"/>
      <c r="L37" s="245"/>
      <c r="M37" s="245"/>
      <c r="N37" s="249">
        <f t="shared" si="1"/>
        <v>0</v>
      </c>
      <c r="O37" s="252">
        <f t="shared" si="2"/>
        <v>0</v>
      </c>
      <c r="P37" s="252">
        <f t="shared" si="3"/>
        <v>0</v>
      </c>
      <c r="Q37" s="252">
        <f t="shared" si="4"/>
        <v>0</v>
      </c>
      <c r="R37" s="252">
        <f t="shared" si="5"/>
        <v>1</v>
      </c>
    </row>
    <row r="38" spans="1:18" ht="13.3" thickTop="1" thickBot="1" x14ac:dyDescent="0.35">
      <c r="A38" s="216">
        <v>34</v>
      </c>
      <c r="B38" s="161"/>
      <c r="C38" s="242"/>
      <c r="D38" s="162"/>
      <c r="E38" s="176"/>
      <c r="F38" s="163"/>
      <c r="G38" s="163"/>
      <c r="H38" s="162"/>
      <c r="I38" s="164"/>
      <c r="J38" s="159"/>
      <c r="K38" s="245"/>
      <c r="L38" s="245"/>
      <c r="M38" s="245"/>
      <c r="N38" s="249">
        <f t="shared" si="1"/>
        <v>0</v>
      </c>
      <c r="O38" s="252">
        <f t="shared" si="2"/>
        <v>0</v>
      </c>
      <c r="P38" s="252">
        <f t="shared" si="3"/>
        <v>0</v>
      </c>
      <c r="Q38" s="252">
        <f t="shared" si="4"/>
        <v>0</v>
      </c>
      <c r="R38" s="252">
        <f t="shared" si="5"/>
        <v>1</v>
      </c>
    </row>
    <row r="39" spans="1:18" ht="13.3" thickTop="1" thickBot="1" x14ac:dyDescent="0.35">
      <c r="A39" s="216">
        <v>35</v>
      </c>
      <c r="B39" s="161"/>
      <c r="C39" s="242"/>
      <c r="D39" s="162"/>
      <c r="E39" s="176"/>
      <c r="F39" s="163"/>
      <c r="G39" s="163"/>
      <c r="H39" s="162"/>
      <c r="I39" s="164"/>
      <c r="J39" s="159"/>
      <c r="K39" s="245"/>
      <c r="L39" s="245"/>
      <c r="M39" s="245"/>
      <c r="N39" s="249">
        <f t="shared" si="1"/>
        <v>0</v>
      </c>
      <c r="O39" s="252">
        <f t="shared" si="2"/>
        <v>0</v>
      </c>
      <c r="P39" s="252">
        <f t="shared" si="3"/>
        <v>0</v>
      </c>
      <c r="Q39" s="252">
        <f t="shared" si="4"/>
        <v>0</v>
      </c>
      <c r="R39" s="252">
        <f t="shared" si="5"/>
        <v>1</v>
      </c>
    </row>
    <row r="40" spans="1:18" ht="12.9" thickTop="1" x14ac:dyDescent="0.3"/>
  </sheetData>
  <sheetProtection algorithmName="SHA-512" hashValue="/a07Tzbk0HU9DSP9kUVYJecswSQmBKNrsAvn7NnMtcfzdnnbA3vRd2K0VYzBqyg/UlbV8fOK9zUWNty+mIl3Cw==" saltValue="pJV7//SS1xRL/ww7v9ZPqw==" spinCount="100000" sheet="1" objects="1" scenarios="1"/>
  <mergeCells count="3">
    <mergeCell ref="B3:J3"/>
    <mergeCell ref="K3:M3"/>
    <mergeCell ref="N3:R3"/>
  </mergeCells>
  <dataValidations count="12">
    <dataValidation type="decimal" allowBlank="1" showInputMessage="1" showErrorMessage="1" errorTitle="Fehler" error="Sie müssen Werte zwischen 0% und 100% eingeben." promptTitle="Tau" prompt="Geben Sie den Wert für den Tageslicht-Transmissiongrad des Glases ein. _x000a_Achtung: bei vor dem Fenster angeordneten Gläsern (Kastenfenster, Doppelfassaden etc.) ist der Tau-Wert der Verglasungen zu multiplizieren." sqref="G5:G39" xr:uid="{00000000-0002-0000-0100-000007000000}">
      <formula1>0</formula1>
      <formula2>1</formula2>
    </dataValidation>
    <dataValidation type="textLength" allowBlank="1" showInputMessage="1" showErrorMessage="1" errorTitle="Fehler" error="Sie dürfen maximal 4 Zeichen eingeben." promptTitle="Kürzel" prompt="Eingabe einer Kurzbezeichnung (max. 4 Zeichen)." sqref="B5:B39" xr:uid="{B95E7CDC-FE13-4361-A66B-8A251CF49FBB}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5:C39" xr:uid="{ACBE1949-C954-42FB-8F46-01EB879E4F8D}">
      <formula1>1</formula1>
      <formula2>25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5:D39" xr:uid="{D9313093-53BE-4B4F-9E3C-2CC5564F7D6B}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5:E39" xr:uid="{B01E3057-84D3-47BE-BAA7-9CB67155B98B}">
      <formula1>0</formula1>
      <formula2>999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5:F39" xr:uid="{F9B14DEF-7F6C-49FC-B27D-DBC2393A2E81}">
      <formula1>0</formula1>
      <formula2>1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5:H39" xr:uid="{5DA26412-52B4-4A1D-876E-095A1142553A}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5:I39" xr:uid="{D96B6773-0FC1-4B92-B8DA-F2A5D5B14CAA}">
      <formula1>0</formula1>
      <formula2>99</formula2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5:J39" xr:uid="{880B945A-CD54-400A-B078-79BFEE09F624}">
      <formula1>JaNein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5:K39" xr:uid="{C8A14007-9310-40BB-B5CF-09D3F85E4177}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5:L39" xr:uid="{7EB78DEA-F071-42F7-A033-EE1A3B38CF32}">
      <formula1>ListSoControl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5:M39" xr:uid="{13730034-C662-4854-8177-7A71FE8952C5}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K42"/>
  <sheetViews>
    <sheetView showGridLines="0" zoomScaleNormal="100" workbookViewId="0">
      <selection activeCell="B5" sqref="B5"/>
    </sheetView>
  </sheetViews>
  <sheetFormatPr baseColWidth="10" defaultColWidth="8.875" defaultRowHeight="12.45" x14ac:dyDescent="0.3"/>
  <cols>
    <col min="1" max="1" width="2.75" style="29" bestFit="1" customWidth="1"/>
    <col min="2" max="3" width="25.5625" style="29" customWidth="1"/>
    <col min="4" max="7" width="5.75" style="29" customWidth="1"/>
    <col min="8" max="8" width="6" style="29" customWidth="1"/>
    <col min="9" max="9" width="7.25" style="29" customWidth="1"/>
    <col min="10" max="12" width="5.75" style="29" customWidth="1"/>
    <col min="13" max="17" width="6.75" style="29" customWidth="1"/>
    <col min="18" max="18" width="5.3125" style="29" customWidth="1"/>
    <col min="19" max="19" width="6.875" style="29" hidden="1" customWidth="1"/>
    <col min="20" max="20" width="9" style="29" hidden="1" customWidth="1"/>
    <col min="21" max="21" width="7.0625" style="29" hidden="1" customWidth="1"/>
    <col min="22" max="22" width="7.375" style="29" hidden="1" customWidth="1"/>
    <col min="23" max="23" width="6.375" style="29" hidden="1" customWidth="1"/>
    <col min="24" max="24" width="3.75" style="29" hidden="1" customWidth="1"/>
    <col min="25" max="25" width="4" style="29" hidden="1" customWidth="1"/>
    <col min="26" max="26" width="4.75" style="29" hidden="1" customWidth="1"/>
    <col min="27" max="27" width="5.6875" style="29" hidden="1" customWidth="1"/>
    <col min="28" max="28" width="6.25" style="29" hidden="1" customWidth="1"/>
    <col min="29" max="29" width="5.125" style="29" hidden="1" customWidth="1"/>
    <col min="30" max="30" width="4.125" style="29" hidden="1" customWidth="1"/>
    <col min="31" max="31" width="5.25" style="29" hidden="1" customWidth="1"/>
    <col min="32" max="32" width="6.4375" style="29" hidden="1" customWidth="1"/>
    <col min="33" max="33" width="8.0625" style="29" hidden="1" customWidth="1"/>
    <col min="34" max="35" width="10.0625" style="29" hidden="1" customWidth="1"/>
    <col min="36" max="36" width="7.875" style="29" hidden="1" customWidth="1"/>
    <col min="37" max="16384" width="8.875" style="29"/>
  </cols>
  <sheetData>
    <row r="1" spans="1:37" ht="28.5" customHeight="1" x14ac:dyDescent="0.3">
      <c r="A1" s="111" t="str">
        <f>IF(Projektbez="","",Projektbez&amp;" – ")&amp;Texte!$B$61</f>
        <v>Typische Räume und Tageslicht</v>
      </c>
      <c r="B1" s="112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09"/>
      <c r="P1" s="109"/>
      <c r="Q1" s="110"/>
      <c r="R1" s="110"/>
      <c r="S1" s="110"/>
      <c r="T1" s="110"/>
      <c r="U1" s="110"/>
      <c r="V1" s="110"/>
      <c r="W1" s="110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7" ht="9" customHeight="1" x14ac:dyDescent="0.3">
      <c r="D2" s="113"/>
      <c r="E2" s="113"/>
      <c r="F2" s="113"/>
      <c r="G2" s="113"/>
      <c r="H2" s="113"/>
      <c r="J2" s="113"/>
      <c r="K2" s="113"/>
    </row>
    <row r="3" spans="1:37" ht="18.75" customHeight="1" x14ac:dyDescent="0.3">
      <c r="A3" s="38"/>
      <c r="B3" s="187" t="str">
        <f>VLOOKUP(ADDRESS(ROW(),COLUMN(),4),MatrixTexteT3,2,FALSE)</f>
        <v>Typische Räume</v>
      </c>
      <c r="C3" s="188"/>
      <c r="D3" s="285" t="str">
        <f>VLOOKUP(ADDRESS(ROW(),COLUMN(),4),MatrixTexteT3,2,FALSE)</f>
        <v>Raumdaten</v>
      </c>
      <c r="E3" s="286"/>
      <c r="F3" s="286"/>
      <c r="G3" s="286"/>
      <c r="H3" s="286"/>
      <c r="I3" s="287"/>
      <c r="J3" s="285" t="str">
        <f>VLOOKUP(ADDRESS(ROW(),COLUMN(),4),MatrixTexteT3,2,FALSE)</f>
        <v>Fenster</v>
      </c>
      <c r="K3" s="286"/>
      <c r="L3" s="286"/>
      <c r="M3" s="286"/>
      <c r="N3" s="286"/>
      <c r="O3" s="286"/>
      <c r="P3" s="286"/>
      <c r="Q3" s="287"/>
      <c r="R3" s="174" t="str">
        <f>VLOOKUP(ADDRESS(ROW(),COLUMN(),4),MatrixTexteT3,2,FALSE)</f>
        <v>Res.</v>
      </c>
      <c r="S3" s="285" t="s">
        <v>122</v>
      </c>
      <c r="T3" s="286"/>
      <c r="U3" s="286"/>
      <c r="V3" s="286"/>
      <c r="W3" s="287"/>
      <c r="X3" s="285" t="s">
        <v>35</v>
      </c>
      <c r="Y3" s="286"/>
      <c r="Z3" s="286"/>
      <c r="AA3" s="286"/>
      <c r="AB3" s="286"/>
      <c r="AC3" s="286"/>
      <c r="AD3" s="286"/>
      <c r="AE3" s="286"/>
      <c r="AF3" s="286"/>
      <c r="AG3" s="287"/>
      <c r="AH3" s="285" t="s">
        <v>121</v>
      </c>
      <c r="AI3" s="286"/>
      <c r="AJ3" s="287"/>
      <c r="AK3" s="102"/>
    </row>
    <row r="4" spans="1:37" s="30" customFormat="1" ht="46.5" customHeight="1" thickBot="1" x14ac:dyDescent="0.45">
      <c r="A4" s="87" t="s">
        <v>651</v>
      </c>
      <c r="B4" s="86" t="str">
        <f>VLOOKUP(ADDRESS(ROW(),COLUMN(),4),MatrixTexteT3,2,FALSE)</f>
        <v>Raumbezeichnung
-</v>
      </c>
      <c r="C4" s="86" t="str">
        <f>VLOOKUP(ADDRESS(ROW(),COLUMN(),4),MatrixTexteT3,2,FALSE)</f>
        <v>Auswahl Hauptnutzung
-</v>
      </c>
      <c r="D4" s="39" t="str">
        <f>VLOOKUP(ADDRESS(ROW(),COLUMN(),4),MatrixTexteT3,2,FALSE)</f>
        <v>Länge
m</v>
      </c>
      <c r="E4" s="39" t="str">
        <f>VLOOKUP(ADDRESS(ROW(),COLUMN(),4),MatrixTexteT3,2,FALSE)</f>
        <v>Tiefe
m</v>
      </c>
      <c r="F4" s="39" t="str">
        <f>VLOOKUP(ADDRESS(ROW(),COLUMN(),4),MatrixTexteT3,2,FALSE)</f>
        <v>Höhe
m</v>
      </c>
      <c r="G4" s="39" t="str">
        <f>VLOOKUP(ADDRESS(ROW(),COLUMN(),4),MatrixTexteT3,2,FALSE)</f>
        <v>Fläche
m2</v>
      </c>
      <c r="H4" s="39" t="str">
        <f>VLOOKUP(ADDRESS(ROW(),COLUMN(),4),MatrixTexteT3,2,FALSE)</f>
        <v>Anzahl
Stk</v>
      </c>
      <c r="I4" s="39" t="str">
        <f>VLOOKUP(ADDRESS(ROW(),COLUMN(),4),MatrixTexteT3,2,FALSE)</f>
        <v>Raum-Reflexion
-</v>
      </c>
      <c r="J4" s="39" t="str">
        <f>VLOOKUP(ADDRESS(ROW(),COLUMN(),4),MatrixTexteT3,2,FALSE)</f>
        <v>Typ 1
-</v>
      </c>
      <c r="K4" s="39" t="str">
        <f t="shared" ref="K4:Q4" si="0">VLOOKUP(ADDRESS(ROW(),COLUMN(),4),MatrixTexteT3,2,FALSE)</f>
        <v>Anzahl
Stk</v>
      </c>
      <c r="L4" s="39" t="str">
        <f t="shared" si="0"/>
        <v>Typ 2
-</v>
      </c>
      <c r="M4" s="39" t="str">
        <f t="shared" si="0"/>
        <v>Anzahl
Stk</v>
      </c>
      <c r="N4" s="39" t="str">
        <f t="shared" si="0"/>
        <v>Typ 3
-</v>
      </c>
      <c r="O4" s="39" t="str">
        <f t="shared" si="0"/>
        <v>Anzahl
Stk</v>
      </c>
      <c r="P4" s="39" t="str">
        <f t="shared" si="0"/>
        <v>Typ 4
-</v>
      </c>
      <c r="Q4" s="39" t="str">
        <f t="shared" si="0"/>
        <v>Anzahl
Stk</v>
      </c>
      <c r="R4" s="39" t="str">
        <f>VLOOKUP(ADDRESS(ROW(),COLUMN(),4),MatrixTexteT3,2,FALSE)</f>
        <v>Erf. Grad
%</v>
      </c>
      <c r="S4" s="39" t="s">
        <v>147</v>
      </c>
      <c r="T4" s="39" t="s">
        <v>141</v>
      </c>
      <c r="U4" s="39" t="s">
        <v>124</v>
      </c>
      <c r="V4" s="39" t="s">
        <v>123</v>
      </c>
      <c r="W4" s="39" t="s">
        <v>789</v>
      </c>
      <c r="X4" s="39" t="s">
        <v>148</v>
      </c>
      <c r="Y4" s="39" t="s">
        <v>149</v>
      </c>
      <c r="Z4" s="39" t="s">
        <v>150</v>
      </c>
      <c r="AA4" s="39" t="s">
        <v>151</v>
      </c>
      <c r="AB4" s="39" t="s">
        <v>152</v>
      </c>
      <c r="AC4" s="39" t="s">
        <v>153</v>
      </c>
      <c r="AD4" s="39" t="s">
        <v>154</v>
      </c>
      <c r="AE4" s="39" t="s">
        <v>155</v>
      </c>
      <c r="AF4" s="39" t="s">
        <v>156</v>
      </c>
      <c r="AG4" s="39" t="s">
        <v>685</v>
      </c>
      <c r="AH4" s="39" t="s">
        <v>33</v>
      </c>
      <c r="AI4" s="39" t="s">
        <v>32</v>
      </c>
      <c r="AJ4" s="39" t="s">
        <v>34</v>
      </c>
      <c r="AK4" s="107"/>
    </row>
    <row r="5" spans="1:37" ht="13.3" thickTop="1" thickBot="1" x14ac:dyDescent="0.35">
      <c r="A5" s="40">
        <v>1</v>
      </c>
      <c r="B5" s="253"/>
      <c r="C5" s="254"/>
      <c r="D5" s="255"/>
      <c r="E5" s="255"/>
      <c r="F5" s="255"/>
      <c r="G5" s="255"/>
      <c r="H5" s="255"/>
      <c r="I5" s="256"/>
      <c r="J5" s="51"/>
      <c r="K5" s="56"/>
      <c r="L5" s="256"/>
      <c r="M5" s="56"/>
      <c r="N5" s="256"/>
      <c r="O5" s="56"/>
      <c r="P5" s="256"/>
      <c r="Q5" s="257"/>
      <c r="R5" s="177" t="str">
        <f>IF(AJ5&lt;&gt;0,AJ5,"")</f>
        <v/>
      </c>
      <c r="S5" s="47">
        <f>IF(OR(G5=0,G5=""),(D5*E5),G5)</f>
        <v>0</v>
      </c>
      <c r="T5" s="41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41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41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41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42">
        <f>IF(S5=0,0,T5/S5)</f>
        <v>0</v>
      </c>
      <c r="Y5" s="42">
        <f t="shared" ref="Y5:Y34" si="5">IF(C5="",0,MAX(0.175,0.35*(0.375+(VLOOKUP(C5,MatrixBeleuchtung,4,FALSE)/800))))</f>
        <v>0</v>
      </c>
      <c r="Z5" s="43">
        <f t="shared" ref="Z5:Z34" si="6">IF(I5="",0,VLOOKUP(I5,MatrixRaumReflex,2,FALSE))</f>
        <v>0</v>
      </c>
      <c r="AA5" s="44">
        <f>IF(T5=0,1,0.7/U5)</f>
        <v>1</v>
      </c>
      <c r="AB5" s="45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43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43">
        <f>ROUND(IF((F5-V5)&lt;2,1.8,0.8+(0.2/(F5-V5-1.8))),2)</f>
        <v>1.8</v>
      </c>
      <c r="AE5" s="43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46">
        <f>MIN(11,2*Z5*AA5*AB5*AC5*MAX(AD5,AE5))</f>
        <v>0</v>
      </c>
      <c r="AG5" s="46">
        <f>IF(Y5=0,0,IF(X5&gt;Y5,AF5,0.5*(11-AF5)*COS(PI()*X5/Y5)+0.5*(11+AF5)))</f>
        <v>0</v>
      </c>
      <c r="AH5" s="47">
        <f>IF(C5="",0,IF(C5=Constants!$B$105,8.2,9))</f>
        <v>0</v>
      </c>
      <c r="AI5" s="48">
        <f>MIN(11-AG5,AH5)</f>
        <v>0</v>
      </c>
      <c r="AJ5" s="49">
        <f t="shared" ref="AJ5:AJ34" si="10">IF(OR(AND(AH5=0,AI5=0),AH5=0),0,IF(Bauvorhaben=Neubau,AI5/AH5,IF((AI5/AH5)&gt;=Renovationsfaktor,((0.5*((AI5/AH5)-Renovationsfaktor))/(1-Renovationsfaktor)+0.5),(0.5*(AI5/AH5)/Renovationsfaktor))))</f>
        <v>0</v>
      </c>
      <c r="AK5" s="102"/>
    </row>
    <row r="6" spans="1:37" ht="13.3" thickTop="1" thickBot="1" x14ac:dyDescent="0.35">
      <c r="A6" s="40">
        <v>2</v>
      </c>
      <c r="B6" s="253"/>
      <c r="C6" s="254"/>
      <c r="D6" s="255"/>
      <c r="E6" s="255"/>
      <c r="F6" s="255"/>
      <c r="G6" s="255"/>
      <c r="H6" s="255"/>
      <c r="I6" s="256"/>
      <c r="J6" s="51"/>
      <c r="K6" s="56"/>
      <c r="L6" s="256"/>
      <c r="M6" s="56"/>
      <c r="N6" s="256"/>
      <c r="O6" s="56"/>
      <c r="P6" s="256"/>
      <c r="Q6" s="257"/>
      <c r="R6" s="177" t="str">
        <f t="shared" ref="R6:R34" si="11">IF(AJ6&lt;&gt;0,AJ6,"")</f>
        <v/>
      </c>
      <c r="S6" s="47">
        <f t="shared" ref="S6:S23" si="12">IF(OR(G6=0,G6=""),(D6*E6),G6)</f>
        <v>0</v>
      </c>
      <c r="T6" s="41">
        <f t="shared" si="1"/>
        <v>0</v>
      </c>
      <c r="U6" s="41">
        <f t="shared" si="2"/>
        <v>0</v>
      </c>
      <c r="V6" s="41">
        <f t="shared" si="3"/>
        <v>0</v>
      </c>
      <c r="W6" s="41">
        <f t="shared" si="4"/>
        <v>0</v>
      </c>
      <c r="X6" s="42">
        <f>IF(S6=0,0,T6/S6)</f>
        <v>0</v>
      </c>
      <c r="Y6" s="42">
        <f t="shared" si="5"/>
        <v>0</v>
      </c>
      <c r="Z6" s="43">
        <f t="shared" si="6"/>
        <v>0</v>
      </c>
      <c r="AA6" s="44">
        <f t="shared" ref="AA6:AA23" si="13">IF(T6=0,1,0.7/U6)</f>
        <v>1</v>
      </c>
      <c r="AB6" s="45">
        <f t="shared" si="7"/>
        <v>0</v>
      </c>
      <c r="AC6" s="43">
        <f t="shared" si="8"/>
        <v>0</v>
      </c>
      <c r="AD6" s="43">
        <f t="shared" ref="AD6:AD23" si="14">ROUND(IF((F6-V6)&lt;2,1.8,0.8+(0.2/(F6-V6-1.8))),2)</f>
        <v>1.8</v>
      </c>
      <c r="AE6" s="43">
        <f t="shared" si="9"/>
        <v>0</v>
      </c>
      <c r="AF6" s="46">
        <f t="shared" ref="AF6:AF23" si="15">MIN(11,2*Z6*AA6*AB6*AC6*MAX(AD6,AE6))</f>
        <v>0</v>
      </c>
      <c r="AG6" s="46">
        <f t="shared" ref="AG6:AG34" si="16">IF(Y6=0,0,IF(X6&gt;Y6,AF6,0.5*(11-AF6)*COS(PI()*X6/Y6)+0.5*(11+AF6)))</f>
        <v>0</v>
      </c>
      <c r="AH6" s="47">
        <f>IF(C6="",0,IF(C6=Constants!$B$105,8.2,9))</f>
        <v>0</v>
      </c>
      <c r="AI6" s="48">
        <f t="shared" ref="AI6:AI23" si="17">MIN(11-AG6,AH6)</f>
        <v>0</v>
      </c>
      <c r="AJ6" s="49">
        <f t="shared" si="10"/>
        <v>0</v>
      </c>
      <c r="AK6" s="102"/>
    </row>
    <row r="7" spans="1:37" ht="13.3" thickTop="1" thickBot="1" x14ac:dyDescent="0.35">
      <c r="A7" s="40">
        <v>3</v>
      </c>
      <c r="B7" s="253"/>
      <c r="C7" s="254"/>
      <c r="D7" s="255"/>
      <c r="E7" s="255"/>
      <c r="F7" s="255"/>
      <c r="G7" s="255"/>
      <c r="H7" s="255"/>
      <c r="I7" s="256"/>
      <c r="J7" s="51"/>
      <c r="K7" s="56"/>
      <c r="L7" s="256"/>
      <c r="M7" s="56"/>
      <c r="N7" s="256"/>
      <c r="O7" s="56"/>
      <c r="P7" s="256"/>
      <c r="Q7" s="257"/>
      <c r="R7" s="177" t="str">
        <f t="shared" si="11"/>
        <v/>
      </c>
      <c r="S7" s="47">
        <f t="shared" si="12"/>
        <v>0</v>
      </c>
      <c r="T7" s="41">
        <f t="shared" si="1"/>
        <v>0</v>
      </c>
      <c r="U7" s="41">
        <f t="shared" si="2"/>
        <v>0</v>
      </c>
      <c r="V7" s="41">
        <f t="shared" si="3"/>
        <v>0</v>
      </c>
      <c r="W7" s="41">
        <f t="shared" si="4"/>
        <v>0</v>
      </c>
      <c r="X7" s="42">
        <f t="shared" ref="X7:X23" si="18">IF(S7=0,0,T7/S7)</f>
        <v>0</v>
      </c>
      <c r="Y7" s="42">
        <f t="shared" si="5"/>
        <v>0</v>
      </c>
      <c r="Z7" s="43">
        <f t="shared" si="6"/>
        <v>0</v>
      </c>
      <c r="AA7" s="44">
        <f t="shared" si="13"/>
        <v>1</v>
      </c>
      <c r="AB7" s="45">
        <f t="shared" si="7"/>
        <v>0</v>
      </c>
      <c r="AC7" s="43">
        <f t="shared" si="8"/>
        <v>0</v>
      </c>
      <c r="AD7" s="43">
        <f t="shared" si="14"/>
        <v>1.8</v>
      </c>
      <c r="AE7" s="43">
        <f t="shared" si="9"/>
        <v>0</v>
      </c>
      <c r="AF7" s="46">
        <f t="shared" si="15"/>
        <v>0</v>
      </c>
      <c r="AG7" s="46">
        <f t="shared" si="16"/>
        <v>0</v>
      </c>
      <c r="AH7" s="47">
        <f>IF(C7="",0,IF(C7=Constants!$B$105,8.2,9))</f>
        <v>0</v>
      </c>
      <c r="AI7" s="48">
        <f t="shared" si="17"/>
        <v>0</v>
      </c>
      <c r="AJ7" s="49">
        <f t="shared" si="10"/>
        <v>0</v>
      </c>
      <c r="AK7" s="102"/>
    </row>
    <row r="8" spans="1:37" ht="13.3" thickTop="1" thickBot="1" x14ac:dyDescent="0.35">
      <c r="A8" s="40">
        <v>4</v>
      </c>
      <c r="B8" s="253"/>
      <c r="C8" s="254"/>
      <c r="D8" s="255"/>
      <c r="E8" s="255"/>
      <c r="F8" s="255"/>
      <c r="G8" s="255"/>
      <c r="H8" s="255"/>
      <c r="I8" s="256"/>
      <c r="J8" s="51"/>
      <c r="K8" s="56"/>
      <c r="L8" s="256"/>
      <c r="M8" s="56"/>
      <c r="N8" s="256"/>
      <c r="O8" s="56"/>
      <c r="P8" s="256"/>
      <c r="Q8" s="257"/>
      <c r="R8" s="177" t="str">
        <f t="shared" si="11"/>
        <v/>
      </c>
      <c r="S8" s="47">
        <f t="shared" si="12"/>
        <v>0</v>
      </c>
      <c r="T8" s="41">
        <f t="shared" si="1"/>
        <v>0</v>
      </c>
      <c r="U8" s="41">
        <f t="shared" si="2"/>
        <v>0</v>
      </c>
      <c r="V8" s="41">
        <f t="shared" si="3"/>
        <v>0</v>
      </c>
      <c r="W8" s="41">
        <f t="shared" si="4"/>
        <v>0</v>
      </c>
      <c r="X8" s="42">
        <f t="shared" si="18"/>
        <v>0</v>
      </c>
      <c r="Y8" s="42">
        <f t="shared" si="5"/>
        <v>0</v>
      </c>
      <c r="Z8" s="43">
        <f t="shared" si="6"/>
        <v>0</v>
      </c>
      <c r="AA8" s="44">
        <f t="shared" si="13"/>
        <v>1</v>
      </c>
      <c r="AB8" s="45">
        <f t="shared" si="7"/>
        <v>0</v>
      </c>
      <c r="AC8" s="43">
        <f t="shared" si="8"/>
        <v>0</v>
      </c>
      <c r="AD8" s="43">
        <f t="shared" si="14"/>
        <v>1.8</v>
      </c>
      <c r="AE8" s="43">
        <f t="shared" si="9"/>
        <v>0</v>
      </c>
      <c r="AF8" s="46">
        <f t="shared" si="15"/>
        <v>0</v>
      </c>
      <c r="AG8" s="46">
        <f t="shared" si="16"/>
        <v>0</v>
      </c>
      <c r="AH8" s="47">
        <f>IF(C8="",0,IF(C8=Constants!$B$105,8.2,9))</f>
        <v>0</v>
      </c>
      <c r="AI8" s="48">
        <f t="shared" si="17"/>
        <v>0</v>
      </c>
      <c r="AJ8" s="49">
        <f t="shared" si="10"/>
        <v>0</v>
      </c>
      <c r="AK8" s="102"/>
    </row>
    <row r="9" spans="1:37" ht="13.3" thickTop="1" thickBot="1" x14ac:dyDescent="0.35">
      <c r="A9" s="40">
        <v>5</v>
      </c>
      <c r="B9" s="253"/>
      <c r="C9" s="254"/>
      <c r="D9" s="255"/>
      <c r="E9" s="255"/>
      <c r="F9" s="255"/>
      <c r="G9" s="255"/>
      <c r="H9" s="255"/>
      <c r="I9" s="256"/>
      <c r="J9" s="51"/>
      <c r="K9" s="56"/>
      <c r="L9" s="256"/>
      <c r="M9" s="56"/>
      <c r="N9" s="256"/>
      <c r="O9" s="56"/>
      <c r="P9" s="256"/>
      <c r="Q9" s="257"/>
      <c r="R9" s="177" t="str">
        <f t="shared" si="11"/>
        <v/>
      </c>
      <c r="S9" s="47">
        <f t="shared" si="12"/>
        <v>0</v>
      </c>
      <c r="T9" s="41">
        <f t="shared" si="1"/>
        <v>0</v>
      </c>
      <c r="U9" s="41">
        <f t="shared" si="2"/>
        <v>0</v>
      </c>
      <c r="V9" s="41">
        <f t="shared" si="3"/>
        <v>0</v>
      </c>
      <c r="W9" s="41">
        <f t="shared" si="4"/>
        <v>0</v>
      </c>
      <c r="X9" s="42">
        <f t="shared" si="18"/>
        <v>0</v>
      </c>
      <c r="Y9" s="42">
        <f t="shared" si="5"/>
        <v>0</v>
      </c>
      <c r="Z9" s="43">
        <f t="shared" si="6"/>
        <v>0</v>
      </c>
      <c r="AA9" s="44">
        <f t="shared" si="13"/>
        <v>1</v>
      </c>
      <c r="AB9" s="45">
        <f t="shared" si="7"/>
        <v>0</v>
      </c>
      <c r="AC9" s="43">
        <f t="shared" si="8"/>
        <v>0</v>
      </c>
      <c r="AD9" s="43">
        <f t="shared" si="14"/>
        <v>1.8</v>
      </c>
      <c r="AE9" s="43">
        <f t="shared" si="9"/>
        <v>0</v>
      </c>
      <c r="AF9" s="46">
        <f t="shared" si="15"/>
        <v>0</v>
      </c>
      <c r="AG9" s="46">
        <f t="shared" si="16"/>
        <v>0</v>
      </c>
      <c r="AH9" s="47">
        <f>IF(C9="",0,IF(C9=Constants!$B$105,8.2,9))</f>
        <v>0</v>
      </c>
      <c r="AI9" s="48">
        <f t="shared" si="17"/>
        <v>0</v>
      </c>
      <c r="AJ9" s="49">
        <f t="shared" si="10"/>
        <v>0</v>
      </c>
      <c r="AK9" s="102"/>
    </row>
    <row r="10" spans="1:37" ht="13.3" thickTop="1" thickBot="1" x14ac:dyDescent="0.35">
      <c r="A10" s="40">
        <v>6</v>
      </c>
      <c r="B10" s="253"/>
      <c r="C10" s="254"/>
      <c r="D10" s="255"/>
      <c r="E10" s="255"/>
      <c r="F10" s="255"/>
      <c r="G10" s="255"/>
      <c r="H10" s="255"/>
      <c r="I10" s="256"/>
      <c r="J10" s="51"/>
      <c r="K10" s="56"/>
      <c r="L10" s="256"/>
      <c r="M10" s="56"/>
      <c r="N10" s="256"/>
      <c r="O10" s="56"/>
      <c r="P10" s="256"/>
      <c r="Q10" s="257"/>
      <c r="R10" s="177" t="str">
        <f t="shared" si="11"/>
        <v/>
      </c>
      <c r="S10" s="47">
        <f t="shared" si="12"/>
        <v>0</v>
      </c>
      <c r="T10" s="41">
        <f t="shared" si="1"/>
        <v>0</v>
      </c>
      <c r="U10" s="41">
        <f t="shared" si="2"/>
        <v>0</v>
      </c>
      <c r="V10" s="41">
        <f t="shared" si="3"/>
        <v>0</v>
      </c>
      <c r="W10" s="41">
        <f t="shared" si="4"/>
        <v>0</v>
      </c>
      <c r="X10" s="42">
        <f t="shared" si="18"/>
        <v>0</v>
      </c>
      <c r="Y10" s="42">
        <f t="shared" si="5"/>
        <v>0</v>
      </c>
      <c r="Z10" s="43">
        <f t="shared" si="6"/>
        <v>0</v>
      </c>
      <c r="AA10" s="44">
        <f t="shared" si="13"/>
        <v>1</v>
      </c>
      <c r="AB10" s="45">
        <f t="shared" si="7"/>
        <v>0</v>
      </c>
      <c r="AC10" s="43">
        <f t="shared" si="8"/>
        <v>0</v>
      </c>
      <c r="AD10" s="43">
        <f t="shared" si="14"/>
        <v>1.8</v>
      </c>
      <c r="AE10" s="43">
        <f t="shared" si="9"/>
        <v>0</v>
      </c>
      <c r="AF10" s="46">
        <f t="shared" si="15"/>
        <v>0</v>
      </c>
      <c r="AG10" s="46">
        <f t="shared" si="16"/>
        <v>0</v>
      </c>
      <c r="AH10" s="47">
        <f>IF(C10="",0,IF(C10=Constants!$B$105,8.2,9))</f>
        <v>0</v>
      </c>
      <c r="AI10" s="48">
        <f t="shared" si="17"/>
        <v>0</v>
      </c>
      <c r="AJ10" s="49">
        <f t="shared" si="10"/>
        <v>0</v>
      </c>
      <c r="AK10" s="102"/>
    </row>
    <row r="11" spans="1:37" ht="13.3" thickTop="1" thickBot="1" x14ac:dyDescent="0.35">
      <c r="A11" s="40">
        <v>7</v>
      </c>
      <c r="B11" s="253"/>
      <c r="C11" s="254"/>
      <c r="D11" s="255"/>
      <c r="E11" s="255"/>
      <c r="F11" s="255"/>
      <c r="G11" s="255"/>
      <c r="H11" s="255"/>
      <c r="I11" s="256"/>
      <c r="J11" s="51"/>
      <c r="K11" s="56"/>
      <c r="L11" s="256"/>
      <c r="M11" s="56"/>
      <c r="N11" s="256"/>
      <c r="O11" s="56"/>
      <c r="P11" s="256"/>
      <c r="Q11" s="257"/>
      <c r="R11" s="177" t="str">
        <f t="shared" si="11"/>
        <v/>
      </c>
      <c r="S11" s="47">
        <f t="shared" si="12"/>
        <v>0</v>
      </c>
      <c r="T11" s="41">
        <f t="shared" si="1"/>
        <v>0</v>
      </c>
      <c r="U11" s="41">
        <f t="shared" si="2"/>
        <v>0</v>
      </c>
      <c r="V11" s="41">
        <f t="shared" si="3"/>
        <v>0</v>
      </c>
      <c r="W11" s="41">
        <f t="shared" si="4"/>
        <v>0</v>
      </c>
      <c r="X11" s="42">
        <f t="shared" si="18"/>
        <v>0</v>
      </c>
      <c r="Y11" s="42">
        <f t="shared" si="5"/>
        <v>0</v>
      </c>
      <c r="Z11" s="43">
        <f t="shared" si="6"/>
        <v>0</v>
      </c>
      <c r="AA11" s="44">
        <f t="shared" si="13"/>
        <v>1</v>
      </c>
      <c r="AB11" s="45">
        <f t="shared" si="7"/>
        <v>0</v>
      </c>
      <c r="AC11" s="43">
        <f t="shared" si="8"/>
        <v>0</v>
      </c>
      <c r="AD11" s="43">
        <f t="shared" si="14"/>
        <v>1.8</v>
      </c>
      <c r="AE11" s="43">
        <f t="shared" si="9"/>
        <v>0</v>
      </c>
      <c r="AF11" s="46">
        <f t="shared" si="15"/>
        <v>0</v>
      </c>
      <c r="AG11" s="46">
        <f t="shared" si="16"/>
        <v>0</v>
      </c>
      <c r="AH11" s="47">
        <f>IF(C11="",0,IF(C11=Constants!$B$105,8.2,9))</f>
        <v>0</v>
      </c>
      <c r="AI11" s="48">
        <f t="shared" si="17"/>
        <v>0</v>
      </c>
      <c r="AJ11" s="49">
        <f t="shared" si="10"/>
        <v>0</v>
      </c>
      <c r="AK11" s="102"/>
    </row>
    <row r="12" spans="1:37" ht="13.3" thickTop="1" thickBot="1" x14ac:dyDescent="0.35">
      <c r="A12" s="40">
        <v>8</v>
      </c>
      <c r="B12" s="253"/>
      <c r="C12" s="254"/>
      <c r="D12" s="255"/>
      <c r="E12" s="255"/>
      <c r="F12" s="255"/>
      <c r="G12" s="255"/>
      <c r="H12" s="255"/>
      <c r="I12" s="256"/>
      <c r="J12" s="51"/>
      <c r="K12" s="56"/>
      <c r="L12" s="256"/>
      <c r="M12" s="56"/>
      <c r="N12" s="256"/>
      <c r="O12" s="56"/>
      <c r="P12" s="256"/>
      <c r="Q12" s="257"/>
      <c r="R12" s="177" t="str">
        <f t="shared" si="11"/>
        <v/>
      </c>
      <c r="S12" s="47">
        <f t="shared" si="12"/>
        <v>0</v>
      </c>
      <c r="T12" s="41">
        <f t="shared" si="1"/>
        <v>0</v>
      </c>
      <c r="U12" s="41">
        <f t="shared" si="2"/>
        <v>0</v>
      </c>
      <c r="V12" s="41">
        <f t="shared" si="3"/>
        <v>0</v>
      </c>
      <c r="W12" s="41">
        <f t="shared" si="4"/>
        <v>0</v>
      </c>
      <c r="X12" s="42">
        <f t="shared" si="18"/>
        <v>0</v>
      </c>
      <c r="Y12" s="42">
        <f t="shared" si="5"/>
        <v>0</v>
      </c>
      <c r="Z12" s="43">
        <f t="shared" si="6"/>
        <v>0</v>
      </c>
      <c r="AA12" s="44">
        <f t="shared" si="13"/>
        <v>1</v>
      </c>
      <c r="AB12" s="45">
        <f t="shared" si="7"/>
        <v>0</v>
      </c>
      <c r="AC12" s="43">
        <f t="shared" si="8"/>
        <v>0</v>
      </c>
      <c r="AD12" s="43">
        <f t="shared" si="14"/>
        <v>1.8</v>
      </c>
      <c r="AE12" s="43">
        <f t="shared" si="9"/>
        <v>0</v>
      </c>
      <c r="AF12" s="46">
        <f t="shared" si="15"/>
        <v>0</v>
      </c>
      <c r="AG12" s="46">
        <f t="shared" si="16"/>
        <v>0</v>
      </c>
      <c r="AH12" s="47">
        <f>IF(C12="",0,IF(C12=Constants!$B$105,8.2,9))</f>
        <v>0</v>
      </c>
      <c r="AI12" s="48">
        <f t="shared" si="17"/>
        <v>0</v>
      </c>
      <c r="AJ12" s="49">
        <f t="shared" si="10"/>
        <v>0</v>
      </c>
      <c r="AK12" s="102"/>
    </row>
    <row r="13" spans="1:37" ht="13.3" thickTop="1" thickBot="1" x14ac:dyDescent="0.35">
      <c r="A13" s="40">
        <v>9</v>
      </c>
      <c r="B13" s="253"/>
      <c r="C13" s="254"/>
      <c r="D13" s="255"/>
      <c r="E13" s="255"/>
      <c r="F13" s="255"/>
      <c r="G13" s="255"/>
      <c r="H13" s="255"/>
      <c r="I13" s="256"/>
      <c r="J13" s="51"/>
      <c r="K13" s="56"/>
      <c r="L13" s="256"/>
      <c r="M13" s="56"/>
      <c r="N13" s="256"/>
      <c r="O13" s="56"/>
      <c r="P13" s="256"/>
      <c r="Q13" s="257"/>
      <c r="R13" s="177" t="str">
        <f t="shared" si="11"/>
        <v/>
      </c>
      <c r="S13" s="47">
        <f t="shared" si="12"/>
        <v>0</v>
      </c>
      <c r="T13" s="41">
        <f t="shared" si="1"/>
        <v>0</v>
      </c>
      <c r="U13" s="41">
        <f t="shared" si="2"/>
        <v>0</v>
      </c>
      <c r="V13" s="41">
        <f t="shared" si="3"/>
        <v>0</v>
      </c>
      <c r="W13" s="41">
        <f t="shared" si="4"/>
        <v>0</v>
      </c>
      <c r="X13" s="42">
        <f t="shared" si="18"/>
        <v>0</v>
      </c>
      <c r="Y13" s="42">
        <f t="shared" si="5"/>
        <v>0</v>
      </c>
      <c r="Z13" s="43">
        <f t="shared" si="6"/>
        <v>0</v>
      </c>
      <c r="AA13" s="44">
        <f t="shared" si="13"/>
        <v>1</v>
      </c>
      <c r="AB13" s="45">
        <f t="shared" si="7"/>
        <v>0</v>
      </c>
      <c r="AC13" s="43">
        <f t="shared" si="8"/>
        <v>0</v>
      </c>
      <c r="AD13" s="43">
        <f t="shared" si="14"/>
        <v>1.8</v>
      </c>
      <c r="AE13" s="43">
        <f t="shared" si="9"/>
        <v>0</v>
      </c>
      <c r="AF13" s="46">
        <f t="shared" si="15"/>
        <v>0</v>
      </c>
      <c r="AG13" s="46">
        <f t="shared" si="16"/>
        <v>0</v>
      </c>
      <c r="AH13" s="47">
        <f>IF(C13="",0,IF(C13=Constants!$B$105,8.2,9))</f>
        <v>0</v>
      </c>
      <c r="AI13" s="48">
        <f t="shared" si="17"/>
        <v>0</v>
      </c>
      <c r="AJ13" s="49">
        <f t="shared" si="10"/>
        <v>0</v>
      </c>
      <c r="AK13" s="102"/>
    </row>
    <row r="14" spans="1:37" ht="13.3" thickTop="1" thickBot="1" x14ac:dyDescent="0.35">
      <c r="A14" s="40">
        <v>10</v>
      </c>
      <c r="B14" s="253"/>
      <c r="C14" s="254"/>
      <c r="D14" s="255"/>
      <c r="E14" s="255"/>
      <c r="F14" s="255"/>
      <c r="G14" s="255"/>
      <c r="H14" s="255"/>
      <c r="I14" s="256"/>
      <c r="J14" s="51"/>
      <c r="K14" s="56"/>
      <c r="L14" s="256"/>
      <c r="M14" s="56"/>
      <c r="N14" s="256"/>
      <c r="O14" s="56"/>
      <c r="P14" s="256"/>
      <c r="Q14" s="257"/>
      <c r="R14" s="177" t="str">
        <f t="shared" si="11"/>
        <v/>
      </c>
      <c r="S14" s="47">
        <f t="shared" si="12"/>
        <v>0</v>
      </c>
      <c r="T14" s="41">
        <f t="shared" si="1"/>
        <v>0</v>
      </c>
      <c r="U14" s="41">
        <f t="shared" si="2"/>
        <v>0</v>
      </c>
      <c r="V14" s="41">
        <f t="shared" si="3"/>
        <v>0</v>
      </c>
      <c r="W14" s="41">
        <f t="shared" si="4"/>
        <v>0</v>
      </c>
      <c r="X14" s="42">
        <f t="shared" si="18"/>
        <v>0</v>
      </c>
      <c r="Y14" s="42">
        <f t="shared" si="5"/>
        <v>0</v>
      </c>
      <c r="Z14" s="43">
        <f t="shared" si="6"/>
        <v>0</v>
      </c>
      <c r="AA14" s="44">
        <f t="shared" si="13"/>
        <v>1</v>
      </c>
      <c r="AB14" s="45">
        <f t="shared" si="7"/>
        <v>0</v>
      </c>
      <c r="AC14" s="43">
        <f t="shared" si="8"/>
        <v>0</v>
      </c>
      <c r="AD14" s="43">
        <f t="shared" si="14"/>
        <v>1.8</v>
      </c>
      <c r="AE14" s="43">
        <f t="shared" si="9"/>
        <v>0</v>
      </c>
      <c r="AF14" s="46">
        <f t="shared" si="15"/>
        <v>0</v>
      </c>
      <c r="AG14" s="46">
        <f t="shared" si="16"/>
        <v>0</v>
      </c>
      <c r="AH14" s="47">
        <f>IF(C14="",0,IF(C14=Constants!$B$105,8.2,9))</f>
        <v>0</v>
      </c>
      <c r="AI14" s="48">
        <f t="shared" si="17"/>
        <v>0</v>
      </c>
      <c r="AJ14" s="49">
        <f t="shared" si="10"/>
        <v>0</v>
      </c>
      <c r="AK14" s="102"/>
    </row>
    <row r="15" spans="1:37" ht="13.3" thickTop="1" thickBot="1" x14ac:dyDescent="0.35">
      <c r="A15" s="40">
        <v>11</v>
      </c>
      <c r="B15" s="253"/>
      <c r="C15" s="254"/>
      <c r="D15" s="255"/>
      <c r="E15" s="255"/>
      <c r="F15" s="255"/>
      <c r="G15" s="255"/>
      <c r="H15" s="255"/>
      <c r="I15" s="256"/>
      <c r="J15" s="51"/>
      <c r="K15" s="56"/>
      <c r="L15" s="256"/>
      <c r="M15" s="56"/>
      <c r="N15" s="256"/>
      <c r="O15" s="56"/>
      <c r="P15" s="256"/>
      <c r="Q15" s="257"/>
      <c r="R15" s="177" t="str">
        <f t="shared" si="11"/>
        <v/>
      </c>
      <c r="S15" s="47">
        <f t="shared" si="12"/>
        <v>0</v>
      </c>
      <c r="T15" s="41">
        <f t="shared" si="1"/>
        <v>0</v>
      </c>
      <c r="U15" s="41">
        <f t="shared" si="2"/>
        <v>0</v>
      </c>
      <c r="V15" s="41">
        <f t="shared" si="3"/>
        <v>0</v>
      </c>
      <c r="W15" s="41">
        <f t="shared" si="4"/>
        <v>0</v>
      </c>
      <c r="X15" s="42">
        <f t="shared" si="18"/>
        <v>0</v>
      </c>
      <c r="Y15" s="42">
        <f t="shared" si="5"/>
        <v>0</v>
      </c>
      <c r="Z15" s="43">
        <f t="shared" si="6"/>
        <v>0</v>
      </c>
      <c r="AA15" s="44">
        <f t="shared" si="13"/>
        <v>1</v>
      </c>
      <c r="AB15" s="45">
        <f t="shared" si="7"/>
        <v>0</v>
      </c>
      <c r="AC15" s="43">
        <f t="shared" si="8"/>
        <v>0</v>
      </c>
      <c r="AD15" s="43">
        <f t="shared" si="14"/>
        <v>1.8</v>
      </c>
      <c r="AE15" s="43">
        <f t="shared" si="9"/>
        <v>0</v>
      </c>
      <c r="AF15" s="46">
        <f t="shared" si="15"/>
        <v>0</v>
      </c>
      <c r="AG15" s="46">
        <f t="shared" si="16"/>
        <v>0</v>
      </c>
      <c r="AH15" s="47">
        <f>IF(C15="",0,IF(C15=Constants!$B$105,8.2,9))</f>
        <v>0</v>
      </c>
      <c r="AI15" s="48">
        <f t="shared" si="17"/>
        <v>0</v>
      </c>
      <c r="AJ15" s="49">
        <f t="shared" si="10"/>
        <v>0</v>
      </c>
      <c r="AK15" s="102"/>
    </row>
    <row r="16" spans="1:37" ht="13.3" thickTop="1" thickBot="1" x14ac:dyDescent="0.35">
      <c r="A16" s="40">
        <v>12</v>
      </c>
      <c r="B16" s="253"/>
      <c r="C16" s="254"/>
      <c r="D16" s="255"/>
      <c r="E16" s="255"/>
      <c r="F16" s="255"/>
      <c r="G16" s="255"/>
      <c r="H16" s="255"/>
      <c r="I16" s="256"/>
      <c r="J16" s="51"/>
      <c r="K16" s="56"/>
      <c r="L16" s="256"/>
      <c r="M16" s="56"/>
      <c r="N16" s="256"/>
      <c r="O16" s="56"/>
      <c r="P16" s="256"/>
      <c r="Q16" s="257"/>
      <c r="R16" s="177" t="str">
        <f t="shared" si="11"/>
        <v/>
      </c>
      <c r="S16" s="47">
        <f t="shared" si="12"/>
        <v>0</v>
      </c>
      <c r="T16" s="41">
        <f t="shared" si="1"/>
        <v>0</v>
      </c>
      <c r="U16" s="41">
        <f t="shared" si="2"/>
        <v>0</v>
      </c>
      <c r="V16" s="41">
        <f t="shared" si="3"/>
        <v>0</v>
      </c>
      <c r="W16" s="41">
        <f t="shared" si="4"/>
        <v>0</v>
      </c>
      <c r="X16" s="42">
        <f t="shared" si="18"/>
        <v>0</v>
      </c>
      <c r="Y16" s="42">
        <f t="shared" si="5"/>
        <v>0</v>
      </c>
      <c r="Z16" s="43">
        <f t="shared" si="6"/>
        <v>0</v>
      </c>
      <c r="AA16" s="44">
        <f t="shared" si="13"/>
        <v>1</v>
      </c>
      <c r="AB16" s="45">
        <f t="shared" si="7"/>
        <v>0</v>
      </c>
      <c r="AC16" s="43">
        <f t="shared" si="8"/>
        <v>0</v>
      </c>
      <c r="AD16" s="43">
        <f t="shared" si="14"/>
        <v>1.8</v>
      </c>
      <c r="AE16" s="43">
        <f t="shared" si="9"/>
        <v>0</v>
      </c>
      <c r="AF16" s="46">
        <f t="shared" si="15"/>
        <v>0</v>
      </c>
      <c r="AG16" s="46">
        <f t="shared" si="16"/>
        <v>0</v>
      </c>
      <c r="AH16" s="47">
        <f>IF(C16="",0,IF(C16=Constants!$B$105,8.2,9))</f>
        <v>0</v>
      </c>
      <c r="AI16" s="48">
        <f t="shared" si="17"/>
        <v>0</v>
      </c>
      <c r="AJ16" s="49">
        <f t="shared" si="10"/>
        <v>0</v>
      </c>
      <c r="AK16" s="102"/>
    </row>
    <row r="17" spans="1:37" ht="13.3" thickTop="1" thickBot="1" x14ac:dyDescent="0.35">
      <c r="A17" s="40">
        <v>13</v>
      </c>
      <c r="B17" s="253"/>
      <c r="C17" s="254"/>
      <c r="D17" s="255"/>
      <c r="E17" s="255"/>
      <c r="F17" s="255"/>
      <c r="G17" s="255"/>
      <c r="H17" s="255"/>
      <c r="I17" s="256"/>
      <c r="J17" s="51"/>
      <c r="K17" s="56"/>
      <c r="L17" s="256"/>
      <c r="M17" s="56"/>
      <c r="N17" s="256"/>
      <c r="O17" s="56"/>
      <c r="P17" s="256"/>
      <c r="Q17" s="257"/>
      <c r="R17" s="177" t="str">
        <f t="shared" si="11"/>
        <v/>
      </c>
      <c r="S17" s="47">
        <f t="shared" si="12"/>
        <v>0</v>
      </c>
      <c r="T17" s="41">
        <f t="shared" si="1"/>
        <v>0</v>
      </c>
      <c r="U17" s="41">
        <f t="shared" si="2"/>
        <v>0</v>
      </c>
      <c r="V17" s="41">
        <f t="shared" si="3"/>
        <v>0</v>
      </c>
      <c r="W17" s="41">
        <f t="shared" si="4"/>
        <v>0</v>
      </c>
      <c r="X17" s="42">
        <f t="shared" si="18"/>
        <v>0</v>
      </c>
      <c r="Y17" s="42">
        <f t="shared" si="5"/>
        <v>0</v>
      </c>
      <c r="Z17" s="43">
        <f t="shared" si="6"/>
        <v>0</v>
      </c>
      <c r="AA17" s="44">
        <f t="shared" si="13"/>
        <v>1</v>
      </c>
      <c r="AB17" s="45">
        <f t="shared" si="7"/>
        <v>0</v>
      </c>
      <c r="AC17" s="43">
        <f t="shared" si="8"/>
        <v>0</v>
      </c>
      <c r="AD17" s="43">
        <f t="shared" si="14"/>
        <v>1.8</v>
      </c>
      <c r="AE17" s="43">
        <f t="shared" si="9"/>
        <v>0</v>
      </c>
      <c r="AF17" s="46">
        <f t="shared" si="15"/>
        <v>0</v>
      </c>
      <c r="AG17" s="46">
        <f t="shared" si="16"/>
        <v>0</v>
      </c>
      <c r="AH17" s="47">
        <f>IF(C17="",0,IF(C17=Constants!$B$105,8.2,9))</f>
        <v>0</v>
      </c>
      <c r="AI17" s="48">
        <f t="shared" si="17"/>
        <v>0</v>
      </c>
      <c r="AJ17" s="49">
        <f t="shared" si="10"/>
        <v>0</v>
      </c>
      <c r="AK17" s="102"/>
    </row>
    <row r="18" spans="1:37" ht="13.3" thickTop="1" thickBot="1" x14ac:dyDescent="0.35">
      <c r="A18" s="40">
        <v>14</v>
      </c>
      <c r="B18" s="253"/>
      <c r="C18" s="254"/>
      <c r="D18" s="255"/>
      <c r="E18" s="255"/>
      <c r="F18" s="255"/>
      <c r="G18" s="255"/>
      <c r="H18" s="255"/>
      <c r="I18" s="256"/>
      <c r="J18" s="51"/>
      <c r="K18" s="56"/>
      <c r="L18" s="256"/>
      <c r="M18" s="56"/>
      <c r="N18" s="256"/>
      <c r="O18" s="56"/>
      <c r="P18" s="256"/>
      <c r="Q18" s="257"/>
      <c r="R18" s="177" t="str">
        <f t="shared" si="11"/>
        <v/>
      </c>
      <c r="S18" s="47">
        <f t="shared" si="12"/>
        <v>0</v>
      </c>
      <c r="T18" s="41">
        <f t="shared" si="1"/>
        <v>0</v>
      </c>
      <c r="U18" s="41">
        <f t="shared" si="2"/>
        <v>0</v>
      </c>
      <c r="V18" s="41">
        <f t="shared" si="3"/>
        <v>0</v>
      </c>
      <c r="W18" s="41">
        <f t="shared" si="4"/>
        <v>0</v>
      </c>
      <c r="X18" s="42">
        <f t="shared" si="18"/>
        <v>0</v>
      </c>
      <c r="Y18" s="42">
        <f t="shared" si="5"/>
        <v>0</v>
      </c>
      <c r="Z18" s="43">
        <f t="shared" si="6"/>
        <v>0</v>
      </c>
      <c r="AA18" s="44">
        <f t="shared" si="13"/>
        <v>1</v>
      </c>
      <c r="AB18" s="45">
        <f t="shared" si="7"/>
        <v>0</v>
      </c>
      <c r="AC18" s="43">
        <f t="shared" si="8"/>
        <v>0</v>
      </c>
      <c r="AD18" s="43">
        <f t="shared" si="14"/>
        <v>1.8</v>
      </c>
      <c r="AE18" s="43">
        <f t="shared" si="9"/>
        <v>0</v>
      </c>
      <c r="AF18" s="46">
        <f t="shared" si="15"/>
        <v>0</v>
      </c>
      <c r="AG18" s="46">
        <f t="shared" si="16"/>
        <v>0</v>
      </c>
      <c r="AH18" s="47">
        <f>IF(C18="",0,IF(C18=Constants!$B$105,8.2,9))</f>
        <v>0</v>
      </c>
      <c r="AI18" s="48">
        <f t="shared" si="17"/>
        <v>0</v>
      </c>
      <c r="AJ18" s="49">
        <f t="shared" si="10"/>
        <v>0</v>
      </c>
      <c r="AK18" s="102"/>
    </row>
    <row r="19" spans="1:37" ht="13.3" thickTop="1" thickBot="1" x14ac:dyDescent="0.35">
      <c r="A19" s="40">
        <v>15</v>
      </c>
      <c r="B19" s="253"/>
      <c r="C19" s="254"/>
      <c r="D19" s="255"/>
      <c r="E19" s="255"/>
      <c r="F19" s="255"/>
      <c r="G19" s="255"/>
      <c r="H19" s="255"/>
      <c r="I19" s="256"/>
      <c r="J19" s="51"/>
      <c r="K19" s="56"/>
      <c r="L19" s="256"/>
      <c r="M19" s="56"/>
      <c r="N19" s="256"/>
      <c r="O19" s="56"/>
      <c r="P19" s="256"/>
      <c r="Q19" s="257"/>
      <c r="R19" s="177" t="str">
        <f t="shared" si="11"/>
        <v/>
      </c>
      <c r="S19" s="47">
        <f t="shared" si="12"/>
        <v>0</v>
      </c>
      <c r="T19" s="41">
        <f t="shared" si="1"/>
        <v>0</v>
      </c>
      <c r="U19" s="41">
        <f t="shared" si="2"/>
        <v>0</v>
      </c>
      <c r="V19" s="41">
        <f t="shared" si="3"/>
        <v>0</v>
      </c>
      <c r="W19" s="41">
        <f t="shared" si="4"/>
        <v>0</v>
      </c>
      <c r="X19" s="42">
        <f t="shared" si="18"/>
        <v>0</v>
      </c>
      <c r="Y19" s="42">
        <f t="shared" si="5"/>
        <v>0</v>
      </c>
      <c r="Z19" s="43">
        <f t="shared" si="6"/>
        <v>0</v>
      </c>
      <c r="AA19" s="44">
        <f t="shared" si="13"/>
        <v>1</v>
      </c>
      <c r="AB19" s="45">
        <f t="shared" si="7"/>
        <v>0</v>
      </c>
      <c r="AC19" s="43">
        <f t="shared" si="8"/>
        <v>0</v>
      </c>
      <c r="AD19" s="43">
        <f t="shared" si="14"/>
        <v>1.8</v>
      </c>
      <c r="AE19" s="43">
        <f t="shared" si="9"/>
        <v>0</v>
      </c>
      <c r="AF19" s="46">
        <f t="shared" si="15"/>
        <v>0</v>
      </c>
      <c r="AG19" s="46">
        <f t="shared" si="16"/>
        <v>0</v>
      </c>
      <c r="AH19" s="47">
        <f>IF(C19="",0,IF(C19=Constants!$B$105,8.2,9))</f>
        <v>0</v>
      </c>
      <c r="AI19" s="48">
        <f t="shared" si="17"/>
        <v>0</v>
      </c>
      <c r="AJ19" s="49">
        <f t="shared" si="10"/>
        <v>0</v>
      </c>
      <c r="AK19" s="102"/>
    </row>
    <row r="20" spans="1:37" ht="13.3" thickTop="1" thickBot="1" x14ac:dyDescent="0.35">
      <c r="A20" s="40">
        <v>16</v>
      </c>
      <c r="B20" s="253"/>
      <c r="C20" s="254"/>
      <c r="D20" s="255"/>
      <c r="E20" s="255"/>
      <c r="F20" s="255"/>
      <c r="G20" s="255"/>
      <c r="H20" s="255"/>
      <c r="I20" s="256"/>
      <c r="J20" s="51"/>
      <c r="K20" s="56"/>
      <c r="L20" s="256"/>
      <c r="M20" s="56"/>
      <c r="N20" s="256"/>
      <c r="O20" s="56"/>
      <c r="P20" s="256"/>
      <c r="Q20" s="257"/>
      <c r="R20" s="177" t="str">
        <f t="shared" si="11"/>
        <v/>
      </c>
      <c r="S20" s="47">
        <f t="shared" si="12"/>
        <v>0</v>
      </c>
      <c r="T20" s="41">
        <f t="shared" si="1"/>
        <v>0</v>
      </c>
      <c r="U20" s="41">
        <f t="shared" si="2"/>
        <v>0</v>
      </c>
      <c r="V20" s="41">
        <f t="shared" si="3"/>
        <v>0</v>
      </c>
      <c r="W20" s="41">
        <f t="shared" si="4"/>
        <v>0</v>
      </c>
      <c r="X20" s="42">
        <f t="shared" si="18"/>
        <v>0</v>
      </c>
      <c r="Y20" s="42">
        <f t="shared" si="5"/>
        <v>0</v>
      </c>
      <c r="Z20" s="43">
        <f t="shared" si="6"/>
        <v>0</v>
      </c>
      <c r="AA20" s="44">
        <f t="shared" si="13"/>
        <v>1</v>
      </c>
      <c r="AB20" s="45">
        <f t="shared" si="7"/>
        <v>0</v>
      </c>
      <c r="AC20" s="43">
        <f t="shared" si="8"/>
        <v>0</v>
      </c>
      <c r="AD20" s="43">
        <f t="shared" si="14"/>
        <v>1.8</v>
      </c>
      <c r="AE20" s="43">
        <f t="shared" si="9"/>
        <v>0</v>
      </c>
      <c r="AF20" s="46">
        <f t="shared" si="15"/>
        <v>0</v>
      </c>
      <c r="AG20" s="46">
        <f t="shared" si="16"/>
        <v>0</v>
      </c>
      <c r="AH20" s="47">
        <f>IF(C20="",0,IF(C20=Constants!$B$105,8.2,9))</f>
        <v>0</v>
      </c>
      <c r="AI20" s="48">
        <f t="shared" si="17"/>
        <v>0</v>
      </c>
      <c r="AJ20" s="49">
        <f t="shared" si="10"/>
        <v>0</v>
      </c>
      <c r="AK20" s="102"/>
    </row>
    <row r="21" spans="1:37" ht="13.3" thickTop="1" thickBot="1" x14ac:dyDescent="0.35">
      <c r="A21" s="40">
        <v>17</v>
      </c>
      <c r="B21" s="253"/>
      <c r="C21" s="254"/>
      <c r="D21" s="255"/>
      <c r="E21" s="255"/>
      <c r="F21" s="255"/>
      <c r="G21" s="255"/>
      <c r="H21" s="255"/>
      <c r="I21" s="256"/>
      <c r="J21" s="51"/>
      <c r="K21" s="56"/>
      <c r="L21" s="256"/>
      <c r="M21" s="56"/>
      <c r="N21" s="256"/>
      <c r="O21" s="56"/>
      <c r="P21" s="256"/>
      <c r="Q21" s="257"/>
      <c r="R21" s="177" t="str">
        <f t="shared" si="11"/>
        <v/>
      </c>
      <c r="S21" s="47">
        <f t="shared" si="12"/>
        <v>0</v>
      </c>
      <c r="T21" s="41">
        <f t="shared" si="1"/>
        <v>0</v>
      </c>
      <c r="U21" s="41">
        <f t="shared" si="2"/>
        <v>0</v>
      </c>
      <c r="V21" s="41">
        <f t="shared" si="3"/>
        <v>0</v>
      </c>
      <c r="W21" s="41">
        <f t="shared" si="4"/>
        <v>0</v>
      </c>
      <c r="X21" s="42">
        <f t="shared" si="18"/>
        <v>0</v>
      </c>
      <c r="Y21" s="42">
        <f t="shared" si="5"/>
        <v>0</v>
      </c>
      <c r="Z21" s="43">
        <f t="shared" si="6"/>
        <v>0</v>
      </c>
      <c r="AA21" s="44">
        <f t="shared" si="13"/>
        <v>1</v>
      </c>
      <c r="AB21" s="45">
        <f t="shared" si="7"/>
        <v>0</v>
      </c>
      <c r="AC21" s="43">
        <f t="shared" si="8"/>
        <v>0</v>
      </c>
      <c r="AD21" s="43">
        <f t="shared" si="14"/>
        <v>1.8</v>
      </c>
      <c r="AE21" s="43">
        <f t="shared" si="9"/>
        <v>0</v>
      </c>
      <c r="AF21" s="46">
        <f t="shared" si="15"/>
        <v>0</v>
      </c>
      <c r="AG21" s="46">
        <f t="shared" si="16"/>
        <v>0</v>
      </c>
      <c r="AH21" s="47">
        <f>IF(C21="",0,IF(C21=Constants!$B$105,8.2,9))</f>
        <v>0</v>
      </c>
      <c r="AI21" s="48">
        <f t="shared" si="17"/>
        <v>0</v>
      </c>
      <c r="AJ21" s="49">
        <f t="shared" si="10"/>
        <v>0</v>
      </c>
      <c r="AK21" s="102"/>
    </row>
    <row r="22" spans="1:37" ht="13.3" thickTop="1" thickBot="1" x14ac:dyDescent="0.35">
      <c r="A22" s="40">
        <v>18</v>
      </c>
      <c r="B22" s="253"/>
      <c r="C22" s="254"/>
      <c r="D22" s="255"/>
      <c r="E22" s="255"/>
      <c r="F22" s="255"/>
      <c r="G22" s="255"/>
      <c r="H22" s="255"/>
      <c r="I22" s="256"/>
      <c r="J22" s="51"/>
      <c r="K22" s="56"/>
      <c r="L22" s="256"/>
      <c r="M22" s="56"/>
      <c r="N22" s="256"/>
      <c r="O22" s="56"/>
      <c r="P22" s="256"/>
      <c r="Q22" s="257"/>
      <c r="R22" s="177" t="str">
        <f t="shared" si="11"/>
        <v/>
      </c>
      <c r="S22" s="47">
        <f t="shared" si="12"/>
        <v>0</v>
      </c>
      <c r="T22" s="41">
        <f t="shared" si="1"/>
        <v>0</v>
      </c>
      <c r="U22" s="41">
        <f t="shared" si="2"/>
        <v>0</v>
      </c>
      <c r="V22" s="41">
        <f t="shared" si="3"/>
        <v>0</v>
      </c>
      <c r="W22" s="41">
        <f t="shared" si="4"/>
        <v>0</v>
      </c>
      <c r="X22" s="42">
        <f t="shared" si="18"/>
        <v>0</v>
      </c>
      <c r="Y22" s="42">
        <f t="shared" si="5"/>
        <v>0</v>
      </c>
      <c r="Z22" s="43">
        <f t="shared" si="6"/>
        <v>0</v>
      </c>
      <c r="AA22" s="44">
        <f t="shared" si="13"/>
        <v>1</v>
      </c>
      <c r="AB22" s="45">
        <f t="shared" si="7"/>
        <v>0</v>
      </c>
      <c r="AC22" s="43">
        <f t="shared" si="8"/>
        <v>0</v>
      </c>
      <c r="AD22" s="43">
        <f t="shared" si="14"/>
        <v>1.8</v>
      </c>
      <c r="AE22" s="43">
        <f t="shared" si="9"/>
        <v>0</v>
      </c>
      <c r="AF22" s="46">
        <f t="shared" si="15"/>
        <v>0</v>
      </c>
      <c r="AG22" s="46">
        <f t="shared" si="16"/>
        <v>0</v>
      </c>
      <c r="AH22" s="47">
        <f>IF(C22="",0,IF(C22=Constants!$B$105,8.2,9))</f>
        <v>0</v>
      </c>
      <c r="AI22" s="48">
        <f t="shared" si="17"/>
        <v>0</v>
      </c>
      <c r="AJ22" s="49">
        <f t="shared" si="10"/>
        <v>0</v>
      </c>
      <c r="AK22" s="102"/>
    </row>
    <row r="23" spans="1:37" ht="13.3" thickTop="1" thickBot="1" x14ac:dyDescent="0.35">
      <c r="A23" s="40">
        <v>19</v>
      </c>
      <c r="B23" s="253"/>
      <c r="C23" s="254"/>
      <c r="D23" s="255"/>
      <c r="E23" s="255"/>
      <c r="F23" s="255"/>
      <c r="G23" s="255"/>
      <c r="H23" s="255"/>
      <c r="I23" s="256"/>
      <c r="J23" s="51"/>
      <c r="K23" s="56"/>
      <c r="L23" s="256"/>
      <c r="M23" s="56"/>
      <c r="N23" s="256"/>
      <c r="O23" s="56"/>
      <c r="P23" s="256"/>
      <c r="Q23" s="257"/>
      <c r="R23" s="177" t="str">
        <f t="shared" si="11"/>
        <v/>
      </c>
      <c r="S23" s="47">
        <f t="shared" si="12"/>
        <v>0</v>
      </c>
      <c r="T23" s="41">
        <f t="shared" si="1"/>
        <v>0</v>
      </c>
      <c r="U23" s="41">
        <f t="shared" si="2"/>
        <v>0</v>
      </c>
      <c r="V23" s="41">
        <f t="shared" si="3"/>
        <v>0</v>
      </c>
      <c r="W23" s="41">
        <f t="shared" si="4"/>
        <v>0</v>
      </c>
      <c r="X23" s="42">
        <f t="shared" si="18"/>
        <v>0</v>
      </c>
      <c r="Y23" s="42">
        <f t="shared" si="5"/>
        <v>0</v>
      </c>
      <c r="Z23" s="43">
        <f t="shared" si="6"/>
        <v>0</v>
      </c>
      <c r="AA23" s="44">
        <f t="shared" si="13"/>
        <v>1</v>
      </c>
      <c r="AB23" s="45">
        <f t="shared" si="7"/>
        <v>0</v>
      </c>
      <c r="AC23" s="43">
        <f t="shared" si="8"/>
        <v>0</v>
      </c>
      <c r="AD23" s="43">
        <f t="shared" si="14"/>
        <v>1.8</v>
      </c>
      <c r="AE23" s="43">
        <f t="shared" si="9"/>
        <v>0</v>
      </c>
      <c r="AF23" s="46">
        <f t="shared" si="15"/>
        <v>0</v>
      </c>
      <c r="AG23" s="46">
        <f t="shared" si="16"/>
        <v>0</v>
      </c>
      <c r="AH23" s="47">
        <f>IF(C23="",0,IF(C23=Constants!$B$105,8.2,9))</f>
        <v>0</v>
      </c>
      <c r="AI23" s="48">
        <f t="shared" si="17"/>
        <v>0</v>
      </c>
      <c r="AJ23" s="49">
        <f t="shared" si="10"/>
        <v>0</v>
      </c>
      <c r="AK23" s="102"/>
    </row>
    <row r="24" spans="1:37" ht="13.3" thickTop="1" thickBot="1" x14ac:dyDescent="0.35">
      <c r="A24" s="40">
        <v>20</v>
      </c>
      <c r="B24" s="253"/>
      <c r="C24" s="254"/>
      <c r="D24" s="255"/>
      <c r="E24" s="255"/>
      <c r="F24" s="255"/>
      <c r="G24" s="255"/>
      <c r="H24" s="255"/>
      <c r="I24" s="256"/>
      <c r="J24" s="51"/>
      <c r="K24" s="56"/>
      <c r="L24" s="256"/>
      <c r="M24" s="56"/>
      <c r="N24" s="256"/>
      <c r="O24" s="56"/>
      <c r="P24" s="256"/>
      <c r="Q24" s="257"/>
      <c r="R24" s="177" t="str">
        <f t="shared" si="11"/>
        <v/>
      </c>
      <c r="S24" s="47">
        <f t="shared" ref="S24:S34" si="19">IF(OR(G24=0,G24=""),(D24*E24),G24)</f>
        <v>0</v>
      </c>
      <c r="T24" s="41">
        <f t="shared" si="1"/>
        <v>0</v>
      </c>
      <c r="U24" s="41">
        <f t="shared" si="2"/>
        <v>0</v>
      </c>
      <c r="V24" s="41">
        <f t="shared" si="3"/>
        <v>0</v>
      </c>
      <c r="W24" s="41">
        <f t="shared" si="4"/>
        <v>0</v>
      </c>
      <c r="X24" s="42">
        <f t="shared" ref="X24:X34" si="20">IF(S24=0,0,T24/S24)</f>
        <v>0</v>
      </c>
      <c r="Y24" s="42">
        <f t="shared" si="5"/>
        <v>0</v>
      </c>
      <c r="Z24" s="43">
        <f t="shared" si="6"/>
        <v>0</v>
      </c>
      <c r="AA24" s="44">
        <f t="shared" ref="AA24:AA34" si="21">IF(T24=0,1,0.7/U24)</f>
        <v>1</v>
      </c>
      <c r="AB24" s="45">
        <f t="shared" si="7"/>
        <v>0</v>
      </c>
      <c r="AC24" s="43">
        <f t="shared" si="8"/>
        <v>0</v>
      </c>
      <c r="AD24" s="43">
        <f t="shared" ref="AD24:AD34" si="22">ROUND(IF((F24-V24)&lt;2,1.8,0.8+(0.2/(F24-V24-1.8))),2)</f>
        <v>1.8</v>
      </c>
      <c r="AE24" s="43">
        <f t="shared" si="9"/>
        <v>0</v>
      </c>
      <c r="AF24" s="46">
        <f t="shared" ref="AF24:AF34" si="23">MIN(11,2*Z24*AA24*AB24*AC24*MAX(AD24,AE24))</f>
        <v>0</v>
      </c>
      <c r="AG24" s="46">
        <f t="shared" si="16"/>
        <v>0</v>
      </c>
      <c r="AH24" s="47">
        <f>IF(C24="",0,IF(C24=Constants!$B$105,8.2,9))</f>
        <v>0</v>
      </c>
      <c r="AI24" s="48">
        <f t="shared" ref="AI24:AI34" si="24">MIN(11-AG24,AH24)</f>
        <v>0</v>
      </c>
      <c r="AJ24" s="49">
        <f t="shared" si="10"/>
        <v>0</v>
      </c>
      <c r="AK24" s="102"/>
    </row>
    <row r="25" spans="1:37" ht="13.3" thickTop="1" thickBot="1" x14ac:dyDescent="0.35">
      <c r="A25" s="40">
        <v>21</v>
      </c>
      <c r="B25" s="253"/>
      <c r="C25" s="254"/>
      <c r="D25" s="255"/>
      <c r="E25" s="255"/>
      <c r="F25" s="255"/>
      <c r="G25" s="255"/>
      <c r="H25" s="255"/>
      <c r="I25" s="256"/>
      <c r="J25" s="51"/>
      <c r="K25" s="56"/>
      <c r="L25" s="256"/>
      <c r="M25" s="56"/>
      <c r="N25" s="256"/>
      <c r="O25" s="56"/>
      <c r="P25" s="256"/>
      <c r="Q25" s="257"/>
      <c r="R25" s="177" t="str">
        <f t="shared" si="11"/>
        <v/>
      </c>
      <c r="S25" s="47">
        <f t="shared" si="19"/>
        <v>0</v>
      </c>
      <c r="T25" s="41">
        <f t="shared" si="1"/>
        <v>0</v>
      </c>
      <c r="U25" s="41">
        <f t="shared" si="2"/>
        <v>0</v>
      </c>
      <c r="V25" s="41">
        <f t="shared" si="3"/>
        <v>0</v>
      </c>
      <c r="W25" s="41">
        <f t="shared" si="4"/>
        <v>0</v>
      </c>
      <c r="X25" s="42">
        <f t="shared" si="20"/>
        <v>0</v>
      </c>
      <c r="Y25" s="42">
        <f t="shared" si="5"/>
        <v>0</v>
      </c>
      <c r="Z25" s="43">
        <f t="shared" si="6"/>
        <v>0</v>
      </c>
      <c r="AA25" s="44">
        <f t="shared" si="21"/>
        <v>1</v>
      </c>
      <c r="AB25" s="45">
        <f t="shared" si="7"/>
        <v>0</v>
      </c>
      <c r="AC25" s="43">
        <f t="shared" si="8"/>
        <v>0</v>
      </c>
      <c r="AD25" s="43">
        <f t="shared" si="22"/>
        <v>1.8</v>
      </c>
      <c r="AE25" s="43">
        <f t="shared" si="9"/>
        <v>0</v>
      </c>
      <c r="AF25" s="46">
        <f t="shared" si="23"/>
        <v>0</v>
      </c>
      <c r="AG25" s="46">
        <f t="shared" si="16"/>
        <v>0</v>
      </c>
      <c r="AH25" s="47">
        <f>IF(C25="",0,IF(C25=Constants!$B$105,8.2,9))</f>
        <v>0</v>
      </c>
      <c r="AI25" s="48">
        <f t="shared" si="24"/>
        <v>0</v>
      </c>
      <c r="AJ25" s="49">
        <f t="shared" si="10"/>
        <v>0</v>
      </c>
      <c r="AK25" s="102"/>
    </row>
    <row r="26" spans="1:37" ht="13.3" thickTop="1" thickBot="1" x14ac:dyDescent="0.35">
      <c r="A26" s="40">
        <v>22</v>
      </c>
      <c r="B26" s="253"/>
      <c r="C26" s="254"/>
      <c r="D26" s="255"/>
      <c r="E26" s="255"/>
      <c r="F26" s="255"/>
      <c r="G26" s="255"/>
      <c r="H26" s="255"/>
      <c r="I26" s="256"/>
      <c r="J26" s="51"/>
      <c r="K26" s="56"/>
      <c r="L26" s="256"/>
      <c r="M26" s="56"/>
      <c r="N26" s="256"/>
      <c r="O26" s="56"/>
      <c r="P26" s="256"/>
      <c r="Q26" s="257"/>
      <c r="R26" s="177" t="str">
        <f t="shared" si="11"/>
        <v/>
      </c>
      <c r="S26" s="47">
        <f t="shared" si="19"/>
        <v>0</v>
      </c>
      <c r="T26" s="41">
        <f t="shared" si="1"/>
        <v>0</v>
      </c>
      <c r="U26" s="41">
        <f t="shared" si="2"/>
        <v>0</v>
      </c>
      <c r="V26" s="41">
        <f t="shared" si="3"/>
        <v>0</v>
      </c>
      <c r="W26" s="41">
        <f t="shared" si="4"/>
        <v>0</v>
      </c>
      <c r="X26" s="42">
        <f t="shared" si="20"/>
        <v>0</v>
      </c>
      <c r="Y26" s="42">
        <f t="shared" si="5"/>
        <v>0</v>
      </c>
      <c r="Z26" s="43">
        <f t="shared" si="6"/>
        <v>0</v>
      </c>
      <c r="AA26" s="44">
        <f t="shared" si="21"/>
        <v>1</v>
      </c>
      <c r="AB26" s="45">
        <f t="shared" si="7"/>
        <v>0</v>
      </c>
      <c r="AC26" s="43">
        <f t="shared" si="8"/>
        <v>0</v>
      </c>
      <c r="AD26" s="43">
        <f t="shared" si="22"/>
        <v>1.8</v>
      </c>
      <c r="AE26" s="43">
        <f t="shared" si="9"/>
        <v>0</v>
      </c>
      <c r="AF26" s="46">
        <f t="shared" si="23"/>
        <v>0</v>
      </c>
      <c r="AG26" s="46">
        <f t="shared" si="16"/>
        <v>0</v>
      </c>
      <c r="AH26" s="47">
        <f>IF(C26="",0,IF(C26=Constants!$B$105,8.2,9))</f>
        <v>0</v>
      </c>
      <c r="AI26" s="48">
        <f t="shared" si="24"/>
        <v>0</v>
      </c>
      <c r="AJ26" s="49">
        <f t="shared" si="10"/>
        <v>0</v>
      </c>
      <c r="AK26" s="102"/>
    </row>
    <row r="27" spans="1:37" ht="13.3" thickTop="1" thickBot="1" x14ac:dyDescent="0.35">
      <c r="A27" s="40">
        <v>23</v>
      </c>
      <c r="B27" s="253"/>
      <c r="C27" s="254"/>
      <c r="D27" s="255"/>
      <c r="E27" s="255"/>
      <c r="F27" s="255"/>
      <c r="G27" s="255"/>
      <c r="H27" s="255"/>
      <c r="I27" s="256"/>
      <c r="J27" s="51"/>
      <c r="K27" s="56"/>
      <c r="L27" s="256"/>
      <c r="M27" s="56"/>
      <c r="N27" s="256"/>
      <c r="O27" s="56"/>
      <c r="P27" s="256"/>
      <c r="Q27" s="257"/>
      <c r="R27" s="177" t="str">
        <f t="shared" si="11"/>
        <v/>
      </c>
      <c r="S27" s="47">
        <f t="shared" si="19"/>
        <v>0</v>
      </c>
      <c r="T27" s="41">
        <f t="shared" si="1"/>
        <v>0</v>
      </c>
      <c r="U27" s="41">
        <f t="shared" si="2"/>
        <v>0</v>
      </c>
      <c r="V27" s="41">
        <f t="shared" si="3"/>
        <v>0</v>
      </c>
      <c r="W27" s="41">
        <f t="shared" si="4"/>
        <v>0</v>
      </c>
      <c r="X27" s="42">
        <f t="shared" si="20"/>
        <v>0</v>
      </c>
      <c r="Y27" s="42">
        <f t="shared" si="5"/>
        <v>0</v>
      </c>
      <c r="Z27" s="43">
        <f t="shared" si="6"/>
        <v>0</v>
      </c>
      <c r="AA27" s="44">
        <f t="shared" si="21"/>
        <v>1</v>
      </c>
      <c r="AB27" s="45">
        <f t="shared" si="7"/>
        <v>0</v>
      </c>
      <c r="AC27" s="43">
        <f t="shared" si="8"/>
        <v>0</v>
      </c>
      <c r="AD27" s="43">
        <f t="shared" si="22"/>
        <v>1.8</v>
      </c>
      <c r="AE27" s="43">
        <f t="shared" si="9"/>
        <v>0</v>
      </c>
      <c r="AF27" s="46">
        <f t="shared" si="23"/>
        <v>0</v>
      </c>
      <c r="AG27" s="46">
        <f t="shared" si="16"/>
        <v>0</v>
      </c>
      <c r="AH27" s="47">
        <f>IF(C27="",0,IF(C27=Constants!$B$105,8.2,9))</f>
        <v>0</v>
      </c>
      <c r="AI27" s="48">
        <f t="shared" si="24"/>
        <v>0</v>
      </c>
      <c r="AJ27" s="49">
        <f t="shared" si="10"/>
        <v>0</v>
      </c>
      <c r="AK27" s="102"/>
    </row>
    <row r="28" spans="1:37" ht="13.3" thickTop="1" thickBot="1" x14ac:dyDescent="0.35">
      <c r="A28" s="40">
        <v>24</v>
      </c>
      <c r="B28" s="253"/>
      <c r="C28" s="254"/>
      <c r="D28" s="255"/>
      <c r="E28" s="255"/>
      <c r="F28" s="255"/>
      <c r="G28" s="255"/>
      <c r="H28" s="255"/>
      <c r="I28" s="256"/>
      <c r="J28" s="51"/>
      <c r="K28" s="56"/>
      <c r="L28" s="256"/>
      <c r="M28" s="56"/>
      <c r="N28" s="256"/>
      <c r="O28" s="56"/>
      <c r="P28" s="256"/>
      <c r="Q28" s="257"/>
      <c r="R28" s="177" t="str">
        <f t="shared" si="11"/>
        <v/>
      </c>
      <c r="S28" s="47">
        <f t="shared" si="19"/>
        <v>0</v>
      </c>
      <c r="T28" s="41">
        <f t="shared" si="1"/>
        <v>0</v>
      </c>
      <c r="U28" s="41">
        <f t="shared" si="2"/>
        <v>0</v>
      </c>
      <c r="V28" s="41">
        <f t="shared" si="3"/>
        <v>0</v>
      </c>
      <c r="W28" s="41">
        <f t="shared" si="4"/>
        <v>0</v>
      </c>
      <c r="X28" s="42">
        <f t="shared" si="20"/>
        <v>0</v>
      </c>
      <c r="Y28" s="42">
        <f t="shared" si="5"/>
        <v>0</v>
      </c>
      <c r="Z28" s="43">
        <f t="shared" si="6"/>
        <v>0</v>
      </c>
      <c r="AA28" s="44">
        <f t="shared" si="21"/>
        <v>1</v>
      </c>
      <c r="AB28" s="45">
        <f t="shared" si="7"/>
        <v>0</v>
      </c>
      <c r="AC28" s="43">
        <f t="shared" si="8"/>
        <v>0</v>
      </c>
      <c r="AD28" s="43">
        <f t="shared" si="22"/>
        <v>1.8</v>
      </c>
      <c r="AE28" s="43">
        <f t="shared" si="9"/>
        <v>0</v>
      </c>
      <c r="AF28" s="46">
        <f t="shared" si="23"/>
        <v>0</v>
      </c>
      <c r="AG28" s="46">
        <f t="shared" si="16"/>
        <v>0</v>
      </c>
      <c r="AH28" s="47">
        <f>IF(C28="",0,IF(C28=Constants!$B$105,8.2,9))</f>
        <v>0</v>
      </c>
      <c r="AI28" s="48">
        <f t="shared" si="24"/>
        <v>0</v>
      </c>
      <c r="AJ28" s="49">
        <f t="shared" si="10"/>
        <v>0</v>
      </c>
      <c r="AK28" s="102"/>
    </row>
    <row r="29" spans="1:37" ht="13.3" thickTop="1" thickBot="1" x14ac:dyDescent="0.35">
      <c r="A29" s="40">
        <v>25</v>
      </c>
      <c r="B29" s="253"/>
      <c r="C29" s="254"/>
      <c r="D29" s="255"/>
      <c r="E29" s="255"/>
      <c r="F29" s="255"/>
      <c r="G29" s="255"/>
      <c r="H29" s="255"/>
      <c r="I29" s="256"/>
      <c r="J29" s="51"/>
      <c r="K29" s="56"/>
      <c r="L29" s="256"/>
      <c r="M29" s="56"/>
      <c r="N29" s="256"/>
      <c r="O29" s="56"/>
      <c r="P29" s="256"/>
      <c r="Q29" s="257"/>
      <c r="R29" s="177" t="str">
        <f t="shared" si="11"/>
        <v/>
      </c>
      <c r="S29" s="47">
        <f t="shared" si="19"/>
        <v>0</v>
      </c>
      <c r="T29" s="41">
        <f t="shared" si="1"/>
        <v>0</v>
      </c>
      <c r="U29" s="41">
        <f t="shared" si="2"/>
        <v>0</v>
      </c>
      <c r="V29" s="41">
        <f t="shared" si="3"/>
        <v>0</v>
      </c>
      <c r="W29" s="41">
        <f t="shared" si="4"/>
        <v>0</v>
      </c>
      <c r="X29" s="42">
        <f t="shared" si="20"/>
        <v>0</v>
      </c>
      <c r="Y29" s="42">
        <f t="shared" si="5"/>
        <v>0</v>
      </c>
      <c r="Z29" s="43">
        <f t="shared" si="6"/>
        <v>0</v>
      </c>
      <c r="AA29" s="44">
        <f t="shared" si="21"/>
        <v>1</v>
      </c>
      <c r="AB29" s="45">
        <f t="shared" si="7"/>
        <v>0</v>
      </c>
      <c r="AC29" s="43">
        <f t="shared" si="8"/>
        <v>0</v>
      </c>
      <c r="AD29" s="43">
        <f t="shared" si="22"/>
        <v>1.8</v>
      </c>
      <c r="AE29" s="43">
        <f t="shared" si="9"/>
        <v>0</v>
      </c>
      <c r="AF29" s="46">
        <f t="shared" si="23"/>
        <v>0</v>
      </c>
      <c r="AG29" s="46">
        <f t="shared" si="16"/>
        <v>0</v>
      </c>
      <c r="AH29" s="47">
        <f>IF(C29="",0,IF(C29=Constants!$B$105,8.2,9))</f>
        <v>0</v>
      </c>
      <c r="AI29" s="48">
        <f t="shared" si="24"/>
        <v>0</v>
      </c>
      <c r="AJ29" s="49">
        <f t="shared" si="10"/>
        <v>0</v>
      </c>
      <c r="AK29" s="102"/>
    </row>
    <row r="30" spans="1:37" ht="13.3" thickTop="1" thickBot="1" x14ac:dyDescent="0.35">
      <c r="A30" s="40">
        <v>26</v>
      </c>
      <c r="B30" s="253"/>
      <c r="C30" s="254"/>
      <c r="D30" s="255"/>
      <c r="E30" s="255"/>
      <c r="F30" s="255"/>
      <c r="G30" s="255"/>
      <c r="H30" s="255"/>
      <c r="I30" s="256"/>
      <c r="J30" s="51"/>
      <c r="K30" s="56"/>
      <c r="L30" s="256"/>
      <c r="M30" s="56"/>
      <c r="N30" s="256"/>
      <c r="O30" s="56"/>
      <c r="P30" s="256"/>
      <c r="Q30" s="257"/>
      <c r="R30" s="177" t="str">
        <f t="shared" si="11"/>
        <v/>
      </c>
      <c r="S30" s="47">
        <f t="shared" si="19"/>
        <v>0</v>
      </c>
      <c r="T30" s="41">
        <f t="shared" si="1"/>
        <v>0</v>
      </c>
      <c r="U30" s="41">
        <f t="shared" si="2"/>
        <v>0</v>
      </c>
      <c r="V30" s="41">
        <f t="shared" si="3"/>
        <v>0</v>
      </c>
      <c r="W30" s="41">
        <f t="shared" si="4"/>
        <v>0</v>
      </c>
      <c r="X30" s="42">
        <f t="shared" si="20"/>
        <v>0</v>
      </c>
      <c r="Y30" s="42">
        <f t="shared" si="5"/>
        <v>0</v>
      </c>
      <c r="Z30" s="43">
        <f t="shared" si="6"/>
        <v>0</v>
      </c>
      <c r="AA30" s="44">
        <f t="shared" si="21"/>
        <v>1</v>
      </c>
      <c r="AB30" s="45">
        <f t="shared" si="7"/>
        <v>0</v>
      </c>
      <c r="AC30" s="43">
        <f t="shared" si="8"/>
        <v>0</v>
      </c>
      <c r="AD30" s="43">
        <f t="shared" si="22"/>
        <v>1.8</v>
      </c>
      <c r="AE30" s="43">
        <f t="shared" si="9"/>
        <v>0</v>
      </c>
      <c r="AF30" s="46">
        <f t="shared" si="23"/>
        <v>0</v>
      </c>
      <c r="AG30" s="46">
        <f t="shared" si="16"/>
        <v>0</v>
      </c>
      <c r="AH30" s="47">
        <f>IF(C30="",0,IF(C30=Constants!$B$105,8.2,9))</f>
        <v>0</v>
      </c>
      <c r="AI30" s="48">
        <f t="shared" si="24"/>
        <v>0</v>
      </c>
      <c r="AJ30" s="49">
        <f t="shared" si="10"/>
        <v>0</v>
      </c>
      <c r="AK30" s="102"/>
    </row>
    <row r="31" spans="1:37" ht="13.3" thickTop="1" thickBot="1" x14ac:dyDescent="0.35">
      <c r="A31" s="40">
        <v>27</v>
      </c>
      <c r="B31" s="253"/>
      <c r="C31" s="254"/>
      <c r="D31" s="255"/>
      <c r="E31" s="255"/>
      <c r="F31" s="255"/>
      <c r="G31" s="255"/>
      <c r="H31" s="255"/>
      <c r="I31" s="256"/>
      <c r="J31" s="51"/>
      <c r="K31" s="56"/>
      <c r="L31" s="256"/>
      <c r="M31" s="56"/>
      <c r="N31" s="256"/>
      <c r="O31" s="56"/>
      <c r="P31" s="256"/>
      <c r="Q31" s="257"/>
      <c r="R31" s="177" t="str">
        <f t="shared" si="11"/>
        <v/>
      </c>
      <c r="S31" s="47">
        <f t="shared" si="19"/>
        <v>0</v>
      </c>
      <c r="T31" s="41">
        <f t="shared" si="1"/>
        <v>0</v>
      </c>
      <c r="U31" s="41">
        <f t="shared" si="2"/>
        <v>0</v>
      </c>
      <c r="V31" s="41">
        <f t="shared" si="3"/>
        <v>0</v>
      </c>
      <c r="W31" s="41">
        <f t="shared" si="4"/>
        <v>0</v>
      </c>
      <c r="X31" s="42">
        <f t="shared" si="20"/>
        <v>0</v>
      </c>
      <c r="Y31" s="42">
        <f t="shared" si="5"/>
        <v>0</v>
      </c>
      <c r="Z31" s="43">
        <f t="shared" si="6"/>
        <v>0</v>
      </c>
      <c r="AA31" s="44">
        <f t="shared" si="21"/>
        <v>1</v>
      </c>
      <c r="AB31" s="45">
        <f t="shared" si="7"/>
        <v>0</v>
      </c>
      <c r="AC31" s="43">
        <f t="shared" si="8"/>
        <v>0</v>
      </c>
      <c r="AD31" s="43">
        <f t="shared" si="22"/>
        <v>1.8</v>
      </c>
      <c r="AE31" s="43">
        <f t="shared" si="9"/>
        <v>0</v>
      </c>
      <c r="AF31" s="46">
        <f t="shared" si="23"/>
        <v>0</v>
      </c>
      <c r="AG31" s="46">
        <f t="shared" si="16"/>
        <v>0</v>
      </c>
      <c r="AH31" s="47">
        <f>IF(C31="",0,IF(C31=Constants!$B$105,8.2,9))</f>
        <v>0</v>
      </c>
      <c r="AI31" s="48">
        <f t="shared" si="24"/>
        <v>0</v>
      </c>
      <c r="AJ31" s="49">
        <f t="shared" si="10"/>
        <v>0</v>
      </c>
      <c r="AK31" s="102"/>
    </row>
    <row r="32" spans="1:37" ht="13.3" thickTop="1" thickBot="1" x14ac:dyDescent="0.35">
      <c r="A32" s="40">
        <v>28</v>
      </c>
      <c r="B32" s="253"/>
      <c r="C32" s="254"/>
      <c r="D32" s="255"/>
      <c r="E32" s="255"/>
      <c r="F32" s="255"/>
      <c r="G32" s="255"/>
      <c r="H32" s="255"/>
      <c r="I32" s="256"/>
      <c r="J32" s="51"/>
      <c r="K32" s="56"/>
      <c r="L32" s="256"/>
      <c r="M32" s="56"/>
      <c r="N32" s="256"/>
      <c r="O32" s="56"/>
      <c r="P32" s="256"/>
      <c r="Q32" s="257"/>
      <c r="R32" s="177" t="str">
        <f t="shared" si="11"/>
        <v/>
      </c>
      <c r="S32" s="47">
        <f t="shared" si="19"/>
        <v>0</v>
      </c>
      <c r="T32" s="41">
        <f t="shared" si="1"/>
        <v>0</v>
      </c>
      <c r="U32" s="41">
        <f t="shared" si="2"/>
        <v>0</v>
      </c>
      <c r="V32" s="41">
        <f t="shared" si="3"/>
        <v>0</v>
      </c>
      <c r="W32" s="41">
        <f t="shared" si="4"/>
        <v>0</v>
      </c>
      <c r="X32" s="42">
        <f t="shared" si="20"/>
        <v>0</v>
      </c>
      <c r="Y32" s="42">
        <f t="shared" si="5"/>
        <v>0</v>
      </c>
      <c r="Z32" s="43">
        <f t="shared" si="6"/>
        <v>0</v>
      </c>
      <c r="AA32" s="44">
        <f t="shared" si="21"/>
        <v>1</v>
      </c>
      <c r="AB32" s="45">
        <f t="shared" si="7"/>
        <v>0</v>
      </c>
      <c r="AC32" s="43">
        <f t="shared" si="8"/>
        <v>0</v>
      </c>
      <c r="AD32" s="43">
        <f t="shared" si="22"/>
        <v>1.8</v>
      </c>
      <c r="AE32" s="43">
        <f t="shared" si="9"/>
        <v>0</v>
      </c>
      <c r="AF32" s="46">
        <f t="shared" si="23"/>
        <v>0</v>
      </c>
      <c r="AG32" s="46">
        <f t="shared" si="16"/>
        <v>0</v>
      </c>
      <c r="AH32" s="47">
        <f>IF(C32="",0,IF(C32=Constants!$B$105,8.2,9))</f>
        <v>0</v>
      </c>
      <c r="AI32" s="48">
        <f t="shared" si="24"/>
        <v>0</v>
      </c>
      <c r="AJ32" s="49">
        <f t="shared" si="10"/>
        <v>0</v>
      </c>
      <c r="AK32" s="102"/>
    </row>
    <row r="33" spans="1:37" ht="13.3" thickTop="1" thickBot="1" x14ac:dyDescent="0.35">
      <c r="A33" s="40">
        <v>29</v>
      </c>
      <c r="B33" s="54"/>
      <c r="C33" s="50"/>
      <c r="D33" s="55"/>
      <c r="E33" s="55"/>
      <c r="F33" s="55"/>
      <c r="G33" s="55"/>
      <c r="H33" s="55"/>
      <c r="I33" s="52"/>
      <c r="J33" s="53"/>
      <c r="K33" s="57"/>
      <c r="L33" s="52"/>
      <c r="M33" s="57"/>
      <c r="N33" s="52"/>
      <c r="O33" s="57"/>
      <c r="P33" s="52"/>
      <c r="Q33" s="58"/>
      <c r="R33" s="177" t="str">
        <f t="shared" si="11"/>
        <v/>
      </c>
      <c r="S33" s="47">
        <f t="shared" si="19"/>
        <v>0</v>
      </c>
      <c r="T33" s="41">
        <f t="shared" si="1"/>
        <v>0</v>
      </c>
      <c r="U33" s="41">
        <f t="shared" si="2"/>
        <v>0</v>
      </c>
      <c r="V33" s="41">
        <f t="shared" si="3"/>
        <v>0</v>
      </c>
      <c r="W33" s="41">
        <f t="shared" si="4"/>
        <v>0</v>
      </c>
      <c r="X33" s="42">
        <f t="shared" si="20"/>
        <v>0</v>
      </c>
      <c r="Y33" s="42">
        <f t="shared" si="5"/>
        <v>0</v>
      </c>
      <c r="Z33" s="43">
        <f t="shared" si="6"/>
        <v>0</v>
      </c>
      <c r="AA33" s="44">
        <f t="shared" si="21"/>
        <v>1</v>
      </c>
      <c r="AB33" s="45">
        <f t="shared" si="7"/>
        <v>0</v>
      </c>
      <c r="AC33" s="43">
        <f t="shared" si="8"/>
        <v>0</v>
      </c>
      <c r="AD33" s="43">
        <f t="shared" si="22"/>
        <v>1.8</v>
      </c>
      <c r="AE33" s="43">
        <f t="shared" si="9"/>
        <v>0</v>
      </c>
      <c r="AF33" s="46">
        <f t="shared" si="23"/>
        <v>0</v>
      </c>
      <c r="AG33" s="46">
        <f t="shared" si="16"/>
        <v>0</v>
      </c>
      <c r="AH33" s="47">
        <f>IF(C33="",0,IF(C33=Constants!$B$105,8.2,9))</f>
        <v>0</v>
      </c>
      <c r="AI33" s="48">
        <f t="shared" si="24"/>
        <v>0</v>
      </c>
      <c r="AJ33" s="49">
        <f t="shared" si="10"/>
        <v>0</v>
      </c>
      <c r="AK33" s="102"/>
    </row>
    <row r="34" spans="1:37" ht="13.3" thickTop="1" thickBot="1" x14ac:dyDescent="0.35">
      <c r="A34" s="40">
        <v>30</v>
      </c>
      <c r="B34" s="54"/>
      <c r="C34" s="50"/>
      <c r="D34" s="55"/>
      <c r="E34" s="55"/>
      <c r="F34" s="55"/>
      <c r="G34" s="55"/>
      <c r="H34" s="55"/>
      <c r="I34" s="52"/>
      <c r="J34" s="53"/>
      <c r="K34" s="57"/>
      <c r="L34" s="52"/>
      <c r="M34" s="57"/>
      <c r="N34" s="52"/>
      <c r="O34" s="57"/>
      <c r="P34" s="52"/>
      <c r="Q34" s="58"/>
      <c r="R34" s="177" t="str">
        <f t="shared" si="11"/>
        <v/>
      </c>
      <c r="S34" s="47">
        <f t="shared" si="19"/>
        <v>0</v>
      </c>
      <c r="T34" s="41">
        <f t="shared" si="1"/>
        <v>0</v>
      </c>
      <c r="U34" s="41">
        <f t="shared" si="2"/>
        <v>0</v>
      </c>
      <c r="V34" s="41">
        <f t="shared" si="3"/>
        <v>0</v>
      </c>
      <c r="W34" s="41">
        <f t="shared" si="4"/>
        <v>0</v>
      </c>
      <c r="X34" s="42">
        <f t="shared" si="20"/>
        <v>0</v>
      </c>
      <c r="Y34" s="42">
        <f t="shared" si="5"/>
        <v>0</v>
      </c>
      <c r="Z34" s="43">
        <f t="shared" si="6"/>
        <v>0</v>
      </c>
      <c r="AA34" s="44">
        <f t="shared" si="21"/>
        <v>1</v>
      </c>
      <c r="AB34" s="45">
        <f t="shared" si="7"/>
        <v>0</v>
      </c>
      <c r="AC34" s="43">
        <f t="shared" si="8"/>
        <v>0</v>
      </c>
      <c r="AD34" s="43">
        <f t="shared" si="22"/>
        <v>1.8</v>
      </c>
      <c r="AE34" s="43">
        <f t="shared" si="9"/>
        <v>0</v>
      </c>
      <c r="AF34" s="46">
        <f t="shared" si="23"/>
        <v>0</v>
      </c>
      <c r="AG34" s="46">
        <f t="shared" si="16"/>
        <v>0</v>
      </c>
      <c r="AH34" s="47">
        <f>IF(C34="",0,IF(C34=Constants!$B$105,8.2,9))</f>
        <v>0</v>
      </c>
      <c r="AI34" s="48">
        <f t="shared" si="24"/>
        <v>0</v>
      </c>
      <c r="AJ34" s="49">
        <f t="shared" si="10"/>
        <v>0</v>
      </c>
      <c r="AK34" s="102"/>
    </row>
    <row r="35" spans="1:37" s="31" customFormat="1" ht="19.5" customHeight="1" thickTop="1" x14ac:dyDescent="0.3">
      <c r="A35" s="103"/>
      <c r="B35" s="103"/>
      <c r="C35" s="103"/>
      <c r="D35" s="104"/>
      <c r="E35" s="104"/>
      <c r="F35" s="104"/>
      <c r="G35" s="104"/>
      <c r="H35" s="104"/>
      <c r="I35" s="104"/>
      <c r="J35" s="105"/>
      <c r="K35" s="105"/>
      <c r="L35" s="104"/>
      <c r="M35" s="105"/>
      <c r="N35" s="104"/>
      <c r="O35" s="104"/>
      <c r="P35" s="104"/>
      <c r="Q35" s="106"/>
      <c r="R35" s="106"/>
      <c r="S35" s="106"/>
      <c r="T35" s="106"/>
      <c r="U35" s="106"/>
      <c r="V35" s="106"/>
      <c r="W35" s="106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3"/>
      <c r="AI35" s="103"/>
      <c r="AJ35" s="103"/>
      <c r="AK35" s="103"/>
    </row>
    <row r="36" spans="1:37" ht="21" customHeight="1" x14ac:dyDescent="0.3">
      <c r="A36" s="94"/>
      <c r="B36" s="95" t="str">
        <f>VLOOKUP(ADDRESS(ROW(),COLUMN(),4),MatrixTexteT3,2,FALSE)</f>
        <v>Ergebnisse</v>
      </c>
      <c r="C36" s="94"/>
      <c r="D36" s="94"/>
      <c r="E36" s="94"/>
      <c r="F36" s="165" t="str">
        <f>VLOOKUP(ADDRESS(ROW(),COLUMN(),4),MatrixTexteT3,2,FALSE)</f>
        <v>Resultate aus diesem Blatt</v>
      </c>
      <c r="G36" s="96"/>
      <c r="H36" s="94"/>
      <c r="I36" s="97"/>
      <c r="J36" s="165" t="str">
        <f>VLOOKUP(ADDRESS(ROW(),COLUMN(),4),MatrixTexteT3,2,FALSE)</f>
        <v>Übertrag aus weiterem Nachw.</v>
      </c>
      <c r="K36" s="96"/>
      <c r="L36" s="96"/>
      <c r="M36" s="98"/>
      <c r="N36" s="165" t="str">
        <f>VLOOKUP(ADDRESS(ROW(),COLUMN(),4),MatrixTexteT3,2,FALSE)</f>
        <v>Gesamtresultat</v>
      </c>
      <c r="O36" s="96"/>
      <c r="P36" s="96"/>
      <c r="Q36" s="96"/>
      <c r="R36" s="98"/>
      <c r="S36" s="165" t="s">
        <v>1093</v>
      </c>
      <c r="AJ36" s="264" t="s">
        <v>1093</v>
      </c>
      <c r="AK36" s="102"/>
    </row>
    <row r="37" spans="1:37" ht="15" customHeight="1" thickBot="1" x14ac:dyDescent="0.35">
      <c r="A37" s="32"/>
      <c r="B37" s="33" t="str">
        <f>VLOOKUP(ADDRESS(ROW(),COLUMN(),4),MatrixTexteT3,2,FALSE)</f>
        <v>Bezeichnung</v>
      </c>
      <c r="C37" s="32"/>
      <c r="D37" s="32"/>
      <c r="E37" s="32"/>
      <c r="F37" s="289" t="str">
        <f>VLOOKUP(ADDRESS(ROW(),COLUMN(),4),MatrixTexteT3,2,FALSE)</f>
        <v>Gesamtfläche</v>
      </c>
      <c r="G37" s="290"/>
      <c r="H37" s="291" t="str">
        <f>VLOOKUP(ADDRESS(ROW(),COLUMN(),4),MatrixTexteT3,2,FALSE)</f>
        <v>Resultat</v>
      </c>
      <c r="I37" s="292"/>
      <c r="J37" s="289" t="str">
        <f>VLOOKUP(ADDRESS(ROW(),COLUMN(),4),MatrixTexteT3,2,FALSE)</f>
        <v>Gesamtfläche</v>
      </c>
      <c r="K37" s="290"/>
      <c r="L37" s="291" t="str">
        <f>VLOOKUP(ADDRESS(ROW(),COLUMN(),4),MatrixTexteT3,2,FALSE)</f>
        <v>Resultat</v>
      </c>
      <c r="M37" s="292"/>
      <c r="N37" s="293" t="str">
        <f>VLOOKUP(ADDRESS(ROW(),COLUMN(),4),MatrixTexteT3,2,FALSE)</f>
        <v>Gesamtfläche</v>
      </c>
      <c r="O37" s="293"/>
      <c r="P37" s="294" t="str">
        <f>VLOOKUP(ADDRESS(ROW(),COLUMN(),4),MatrixTexteT3,2,FALSE)</f>
        <v>Resultat</v>
      </c>
      <c r="Q37" s="295"/>
      <c r="R37" s="98"/>
      <c r="S37" s="234" t="s">
        <v>131</v>
      </c>
      <c r="AJ37" s="234" t="s">
        <v>138</v>
      </c>
      <c r="AK37" s="102"/>
    </row>
    <row r="38" spans="1:37" ht="16.5" customHeight="1" thickTop="1" thickBot="1" x14ac:dyDescent="0.35">
      <c r="A38" s="59"/>
      <c r="B38" s="85" t="str">
        <f>IF(Nutzung&lt;&gt;0,VLOOKUP(ADDRESS(ROW(),COLUMN(),4),MatrixTexteT3,2,FALSE)&amp;" (min. "&amp;TEXT(VLOOKUP(Nutzung,MatrixNutzung,2,FALSE),"0%")&amp;")",VLOOKUP(ADDRESS(ROW(),COLUMN(),4),MatrixTexteT3,2,FALSE))</f>
        <v>Tageslicht-Erfüllungsgrad über alle Räume</v>
      </c>
      <c r="C38" s="60"/>
      <c r="D38" s="60"/>
      <c r="E38" s="60"/>
      <c r="F38" s="88">
        <f>S38</f>
        <v>0</v>
      </c>
      <c r="G38" s="85" t="s">
        <v>136</v>
      </c>
      <c r="H38" s="172">
        <f>AJ38</f>
        <v>0</v>
      </c>
      <c r="I38" s="90" t="s">
        <v>138</v>
      </c>
      <c r="J38" s="166"/>
      <c r="K38" s="85" t="s">
        <v>136</v>
      </c>
      <c r="L38" s="166"/>
      <c r="M38" s="90" t="s">
        <v>138</v>
      </c>
      <c r="N38" s="92">
        <f>F38+J38</f>
        <v>0</v>
      </c>
      <c r="O38" s="85" t="s">
        <v>136</v>
      </c>
      <c r="P38" s="100">
        <f>IF(F38=0,0,(F38*H38+J38*L38)/N38)</f>
        <v>0</v>
      </c>
      <c r="Q38" s="85" t="s">
        <v>138</v>
      </c>
      <c r="R38" s="90"/>
      <c r="S38" s="235">
        <f>SUMPRODUCT(S5:S34*H5:H34)</f>
        <v>0</v>
      </c>
      <c r="AJ38" s="237">
        <f>IF(S38=0,0,(SUMPRODUCT(S5:S34*H5:H34*AJ5:AJ34)/S38)*100)</f>
        <v>0</v>
      </c>
      <c r="AK38" s="102"/>
    </row>
    <row r="39" spans="1:37" ht="16.5" customHeight="1" thickTop="1" thickBot="1" x14ac:dyDescent="0.35">
      <c r="A39" s="59"/>
      <c r="B39" s="85" t="str">
        <f>IF(Bauvorhaben&lt;&gt;0,VLOOKUP(ADDRESS(ROW(),COLUMN(),4),MatrixTexteT3,2,FALSE)&amp;" (max. "&amp;TEXT(VLOOKUP(Bauvorhaben,MatrixBauvorhaben,2,FALSE),"0%")&amp;")",VLOOKUP(ADDRESS(ROW(),COLUMN(),4),MatrixTexteT3,2,FALSE))</f>
        <v>Anteil der Raumfläche mit ungenügendem Ergebnis</v>
      </c>
      <c r="C39" s="60"/>
      <c r="D39" s="60"/>
      <c r="E39" s="60"/>
      <c r="F39" s="89">
        <f>S39</f>
        <v>0</v>
      </c>
      <c r="G39" s="61" t="s">
        <v>136</v>
      </c>
      <c r="H39" s="173">
        <f>IF(F38=0,0,F39/F38*100)</f>
        <v>0</v>
      </c>
      <c r="I39" s="91" t="s">
        <v>138</v>
      </c>
      <c r="J39" s="167"/>
      <c r="K39" s="61" t="s">
        <v>136</v>
      </c>
      <c r="L39" s="99"/>
      <c r="M39" s="91"/>
      <c r="N39" s="93">
        <f>F39+J39</f>
        <v>0</v>
      </c>
      <c r="O39" s="61" t="s">
        <v>136</v>
      </c>
      <c r="P39" s="101">
        <f>IF(F38=0,0,N39/N38*100)</f>
        <v>0</v>
      </c>
      <c r="Q39" s="61" t="s">
        <v>138</v>
      </c>
      <c r="R39" s="91"/>
      <c r="S39" s="236" cm="1">
        <f t="array" ref="S39">IF(AND(Nutzung&lt;&gt;0,SummeRaumflaeche&lt;&gt;0),SUMPRODUCT((AJ5:AJ34&lt;VLOOKUP(Nutzung,MatrixNutzung,2,FALSE))*S5:S34*H5:H34),0)</f>
        <v>0</v>
      </c>
      <c r="AK39" s="102"/>
    </row>
    <row r="40" spans="1:37" ht="25.5" customHeight="1" thickTop="1" thickBot="1" x14ac:dyDescent="0.4">
      <c r="A40" s="183"/>
      <c r="B40" s="184" t="str">
        <f>VLOOKUP(ADDRESS(ROW(),COLUMN(),4),MatrixTexteT3,2,FALSE)</f>
        <v>Die Anforderungen des Zusatzes ECO sind</v>
      </c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288" t="str">
        <f>IF(AND(Bauvorhaben&lt;&gt;0,Nutzung&lt;&gt;0),IF(AND((P38/100)&gt;=(VLOOKUP(Nutzung,MatrixNutzung,3,FALSE)),(P39/100)&lt;=(VLOOKUP(Bauvorhaben,MatrixBauvorhaben,2,FALSE))),Texte!$B$219,IF(AND((P38/100)&gt;=(VLOOKUP(Nutzung,MatrixNutzung,2,FALSE)),(P39/100)&lt;=(VLOOKUP(Bauvorhaben,MatrixBauvorhaben,2,FALSE))),Texte!$B$220,Texte!$B$221)),Texte!$B$221)</f>
        <v>nicht erfüllt</v>
      </c>
      <c r="O40" s="288"/>
      <c r="P40" s="288"/>
      <c r="Q40" s="288"/>
      <c r="R40" s="288"/>
      <c r="S40" s="233"/>
      <c r="AK40" s="102"/>
    </row>
    <row r="41" spans="1:37" ht="12.9" thickTop="1" x14ac:dyDescent="0.3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</row>
    <row r="42" spans="1:37" x14ac:dyDescent="0.3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</row>
  </sheetData>
  <sheetProtection algorithmName="SHA-512" hashValue="FlKFx4gJnYhm6FhJcvpqa7nshWoYecXnWqezEI2KYjJnlnjlnfXKMuA6HYNkA2fOX9Nkb2cG7W6fPPeWheSzrg==" saltValue="Urlaqa+YXB4qy6J1UqDZ5Q==" spinCount="100000" sheet="1" objects="1" scenario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11">
    <dataValidation type="list" allowBlank="1" showInputMessage="1" showErrorMessage="1" errorTitle="Fehler" error="Sie müssen einen Eintrag aus der Liste wählen." promptTitle="Fenstertyp" prompt="Wählen Sie einen der im Blatt 'Fenster' erfassten Fenstertypen." sqref="P5:P34 N5:N34 L5:L34 J5:J34" xr:uid="{00000000-0002-0000-0200-000000000000}">
      <formula1>ListWindow</formula1>
    </dataValidation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5:B34" xr:uid="{00000000-0002-0000-0200-000001000000}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5:C34" xr:uid="{00000000-0002-0000-0200-000002000000}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5:I34" xr:uid="{00000000-0002-0000-0200-000003000000}">
      <formula1>ListRaumReflex</formula1>
    </dataValidation>
    <dataValidation allowBlank="1" showInputMessage="1" sqref="R5:R34" xr:uid="{00000000-0002-0000-0200-000004000000}"/>
    <dataValidation type="whole" allowBlank="1" showInputMessage="1" showErrorMessage="1" errorTitle="Fehler" error="Sie müssen ganzzahlige Werte zwischen 0 und 999 eingeben." promptTitle="Anzahl" prompt="Geben Sie die Gesamtanzahl dieses Fenstertyps ein." sqref="Q5:Q34 O5:O34 M5:M34 K5:K34" xr:uid="{00000000-0002-0000-0200-000005000000}">
      <formula1>0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5:H34" xr:uid="{00000000-0002-0000-0200-000006000000}">
      <formula1>-99</formula1>
      <formula2>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5:G34" xr:uid="{00000000-0002-0000-0200-000007000000}">
      <formula1>0</formula1>
      <formula2>99999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5:F34" xr:uid="{00000000-0002-0000-02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Tiefe" prompt="Geben Sie die Raumabmessungen ein." sqref="E5:E34" xr:uid="{00000000-0002-0000-0200-000009000000}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5:D34" xr:uid="{00000000-0002-0000-0200-00000A000000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7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35"/>
  <cols>
    <col min="1" max="1" width="2.75" customWidth="1"/>
    <col min="2" max="2" width="46.3125" customWidth="1"/>
    <col min="3" max="6" width="12.75" customWidth="1"/>
    <col min="7" max="7" width="11.5625" customWidth="1"/>
    <col min="8" max="8" width="10.0625" customWidth="1"/>
    <col min="9" max="13" width="11.5625" hidden="1" customWidth="1"/>
  </cols>
  <sheetData>
    <row r="1" spans="1:20" ht="28.5" customHeight="1" x14ac:dyDescent="0.35">
      <c r="A1" s="207" t="str">
        <f>IF(Projektbez="","",Projektbez&amp;" – ")&amp;Texte!$B$101</f>
        <v>Typische Räume und Ausblick</v>
      </c>
      <c r="B1" s="208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T1" s="209"/>
    </row>
    <row r="2" spans="1:20" ht="9" customHeight="1" x14ac:dyDescent="0.35">
      <c r="A2" s="102"/>
      <c r="B2" s="102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</row>
    <row r="3" spans="1:20" ht="18.75" customHeight="1" x14ac:dyDescent="0.35">
      <c r="A3" s="38"/>
      <c r="B3" s="187" t="str">
        <f>VLOOKUP(ADDRESS(ROW(),COLUMN(),4),MatrixTexteT5,2,FALSE)</f>
        <v>Typische Räume</v>
      </c>
      <c r="C3" s="285" t="str">
        <f>VLOOKUP(ADDRESS(ROW(),COLUMN(),4),MatrixTexteT5,2,FALSE)</f>
        <v>Raumdaten</v>
      </c>
      <c r="D3" s="286"/>
      <c r="E3" s="286"/>
      <c r="F3" s="286"/>
      <c r="G3" s="285" t="str">
        <f>Tageslicht!R3</f>
        <v>Res.</v>
      </c>
      <c r="H3" s="286"/>
      <c r="I3" s="296" t="s">
        <v>122</v>
      </c>
      <c r="J3" s="297"/>
      <c r="K3" s="297"/>
      <c r="L3" s="297"/>
      <c r="M3" s="297"/>
      <c r="N3" s="209"/>
      <c r="O3" s="209"/>
      <c r="P3" s="209"/>
      <c r="Q3" s="209"/>
      <c r="R3" s="209"/>
      <c r="S3" s="209"/>
      <c r="T3" s="209"/>
    </row>
    <row r="4" spans="1:20" ht="46.5" customHeight="1" thickBot="1" x14ac:dyDescent="0.4">
      <c r="A4" s="87" t="s">
        <v>651</v>
      </c>
      <c r="B4" s="86" t="str">
        <f>VLOOKUP(ADDRESS(ROW(),COLUMN(),4),MatrixTexteT5,2,FALSE)</f>
        <v>Raumbezeichnung
-</v>
      </c>
      <c r="C4" s="39" t="str">
        <f>VLOOKUP(ADDRESS(ROW(),COLUMN(),4),MatrixTexteT5,2,FALSE)</f>
        <v>Tiefe genutzter Bereich
m</v>
      </c>
      <c r="D4" s="39" t="str">
        <f>VLOOKUP(ADDRESS(ROW(),COLUMN(),4),MatrixTexteT5,2,FALSE)</f>
        <v>Sichtweite
m</v>
      </c>
      <c r="E4" s="302" t="str">
        <f>VLOOKUP(ADDRESS(ROW(),COLUMN(),4),MatrixTexteT5,2,FALSE)</f>
        <v>Sichtebenen
-</v>
      </c>
      <c r="F4" s="303"/>
      <c r="G4" s="39" t="str">
        <f>VLOOKUP(ADDRESS(ROW(),COLUMN(),4),MatrixTexteT5,2,FALSE)</f>
        <v>Resultat
-</v>
      </c>
      <c r="H4" s="39" t="str">
        <f>VLOOKUP(ADDRESS(ROW(),COLUMN(),4),MatrixTexteT5,2,FALSE)</f>
        <v>Resultat
Pt.</v>
      </c>
      <c r="I4" s="189" t="s">
        <v>804</v>
      </c>
      <c r="J4" s="189" t="s">
        <v>801</v>
      </c>
      <c r="K4" s="189" t="s">
        <v>848</v>
      </c>
      <c r="L4" s="39" t="s">
        <v>803</v>
      </c>
      <c r="M4" s="39" t="s">
        <v>800</v>
      </c>
      <c r="N4" s="209"/>
      <c r="O4" s="209"/>
      <c r="P4" s="209"/>
      <c r="Q4" s="209"/>
      <c r="R4" s="209"/>
      <c r="S4" s="209"/>
      <c r="T4" s="209"/>
    </row>
    <row r="5" spans="1:20" ht="15.9" thickTop="1" thickBot="1" x14ac:dyDescent="0.4">
      <c r="A5" s="40">
        <v>1</v>
      </c>
      <c r="B5" s="204" t="str">
        <f>IF(Tageslicht!B5="","",Tageslicht!B5)</f>
        <v/>
      </c>
      <c r="C5" s="190"/>
      <c r="D5" s="190"/>
      <c r="E5" s="298"/>
      <c r="F5" s="299"/>
      <c r="G5" s="41" t="str">
        <f>M5</f>
        <v/>
      </c>
      <c r="H5" s="203" t="str">
        <f>L5</f>
        <v/>
      </c>
      <c r="I5" s="41">
        <f>Tageslicht!W5</f>
        <v>0</v>
      </c>
      <c r="J5" s="41" t="str">
        <f t="shared" ref="J5:J34" si="0">IFERROR(DEGREES(ATAN(I5/C5)),"")</f>
        <v/>
      </c>
      <c r="K5" s="41">
        <f>Tageslicht!S5*Tageslicht!H5</f>
        <v>0</v>
      </c>
      <c r="L5" s="41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41" t="str">
        <f>IF(L5="","",IF(L5=3,Texte!$B$214,IF(L5=2,Texte!$B$215,IF(L5=1,Texte!$B$216,Texte!$B$217))))</f>
        <v/>
      </c>
      <c r="N5" s="209"/>
      <c r="O5" s="209"/>
      <c r="P5" s="209"/>
      <c r="Q5" s="209"/>
      <c r="R5" s="209"/>
      <c r="S5" s="209"/>
      <c r="T5" s="209"/>
    </row>
    <row r="6" spans="1:20" ht="15.9" thickTop="1" thickBot="1" x14ac:dyDescent="0.4">
      <c r="A6" s="40">
        <v>2</v>
      </c>
      <c r="B6" s="204" t="str">
        <f>IF(Tageslicht!B6="","",Tageslicht!B6)</f>
        <v/>
      </c>
      <c r="C6" s="190"/>
      <c r="D6" s="190"/>
      <c r="E6" s="298"/>
      <c r="F6" s="299"/>
      <c r="G6" s="41" t="str">
        <f t="shared" ref="G6:G34" si="2">M6</f>
        <v/>
      </c>
      <c r="H6" s="203" t="str">
        <f t="shared" ref="H6:H34" si="3">L6</f>
        <v/>
      </c>
      <c r="I6" s="41">
        <f>Tageslicht!W6</f>
        <v>0</v>
      </c>
      <c r="J6" s="41" t="str">
        <f t="shared" si="0"/>
        <v/>
      </c>
      <c r="K6" s="41">
        <f>Tageslicht!S6*Tageslicht!H6</f>
        <v>0</v>
      </c>
      <c r="L6" s="41" t="str">
        <f t="shared" si="1"/>
        <v/>
      </c>
      <c r="M6" s="41" t="str">
        <f>IF(L6="","",IF(L6=3,Texte!$B$214,IF(L6=2,Texte!$B$215,IF(L6=1,Texte!$B$216,Texte!$B$217))))</f>
        <v/>
      </c>
      <c r="N6" s="209"/>
      <c r="O6" s="209"/>
      <c r="P6" s="209"/>
      <c r="Q6" s="209"/>
      <c r="R6" s="209"/>
      <c r="S6" s="209"/>
      <c r="T6" s="209"/>
    </row>
    <row r="7" spans="1:20" ht="15.9" thickTop="1" thickBot="1" x14ac:dyDescent="0.4">
      <c r="A7" s="40">
        <v>3</v>
      </c>
      <c r="B7" s="204" t="str">
        <f>IF(Tageslicht!B7="","",Tageslicht!B7)</f>
        <v/>
      </c>
      <c r="C7" s="190"/>
      <c r="D7" s="190"/>
      <c r="E7" s="298"/>
      <c r="F7" s="299"/>
      <c r="G7" s="41" t="str">
        <f t="shared" si="2"/>
        <v/>
      </c>
      <c r="H7" s="203" t="str">
        <f t="shared" si="3"/>
        <v/>
      </c>
      <c r="I7" s="41">
        <f>Tageslicht!W7</f>
        <v>0</v>
      </c>
      <c r="J7" s="41" t="str">
        <f t="shared" si="0"/>
        <v/>
      </c>
      <c r="K7" s="41">
        <f>Tageslicht!S7*Tageslicht!H7</f>
        <v>0</v>
      </c>
      <c r="L7" s="41" t="str">
        <f t="shared" si="1"/>
        <v/>
      </c>
      <c r="M7" s="41" t="str">
        <f>IF(L7="","",IF(L7=3,Texte!$B$214,IF(L7=2,Texte!$B$215,IF(L7=1,Texte!$B$216,Texte!$B$217))))</f>
        <v/>
      </c>
      <c r="N7" s="209"/>
      <c r="O7" s="209"/>
      <c r="P7" s="209"/>
      <c r="Q7" s="209"/>
      <c r="R7" s="209"/>
      <c r="S7" s="209"/>
      <c r="T7" s="209"/>
    </row>
    <row r="8" spans="1:20" ht="15.9" thickTop="1" thickBot="1" x14ac:dyDescent="0.4">
      <c r="A8" s="40">
        <v>4</v>
      </c>
      <c r="B8" s="204" t="str">
        <f>IF(Tageslicht!B8="","",Tageslicht!B8)</f>
        <v/>
      </c>
      <c r="C8" s="190"/>
      <c r="D8" s="190"/>
      <c r="E8" s="298"/>
      <c r="F8" s="299"/>
      <c r="G8" s="41" t="str">
        <f t="shared" si="2"/>
        <v/>
      </c>
      <c r="H8" s="203" t="str">
        <f t="shared" si="3"/>
        <v/>
      </c>
      <c r="I8" s="41">
        <f>Tageslicht!W8</f>
        <v>0</v>
      </c>
      <c r="J8" s="41" t="str">
        <f t="shared" si="0"/>
        <v/>
      </c>
      <c r="K8" s="41">
        <f>Tageslicht!S8*Tageslicht!H8</f>
        <v>0</v>
      </c>
      <c r="L8" s="41" t="str">
        <f t="shared" si="1"/>
        <v/>
      </c>
      <c r="M8" s="41" t="str">
        <f>IF(L8="","",IF(L8=3,Texte!$B$214,IF(L8=2,Texte!$B$215,IF(L8=1,Texte!$B$216,Texte!$B$217))))</f>
        <v/>
      </c>
      <c r="N8" s="209"/>
      <c r="O8" s="209"/>
      <c r="P8" s="209"/>
      <c r="Q8" s="209"/>
      <c r="R8" s="209"/>
      <c r="S8" s="209"/>
      <c r="T8" s="209"/>
    </row>
    <row r="9" spans="1:20" ht="15.9" thickTop="1" thickBot="1" x14ac:dyDescent="0.4">
      <c r="A9" s="40">
        <v>5</v>
      </c>
      <c r="B9" s="204" t="str">
        <f>IF(Tageslicht!B9="","",Tageslicht!B9)</f>
        <v/>
      </c>
      <c r="C9" s="190"/>
      <c r="D9" s="190"/>
      <c r="E9" s="298"/>
      <c r="F9" s="299"/>
      <c r="G9" s="41" t="str">
        <f t="shared" si="2"/>
        <v/>
      </c>
      <c r="H9" s="203" t="str">
        <f t="shared" si="3"/>
        <v/>
      </c>
      <c r="I9" s="41">
        <f>Tageslicht!W9</f>
        <v>0</v>
      </c>
      <c r="J9" s="41" t="str">
        <f t="shared" si="0"/>
        <v/>
      </c>
      <c r="K9" s="41">
        <f>Tageslicht!S9*Tageslicht!H9</f>
        <v>0</v>
      </c>
      <c r="L9" s="41" t="str">
        <f t="shared" si="1"/>
        <v/>
      </c>
      <c r="M9" s="41" t="str">
        <f>IF(L9="","",IF(L9=3,Texte!$B$214,IF(L9=2,Texte!$B$215,IF(L9=1,Texte!$B$216,Texte!$B$217))))</f>
        <v/>
      </c>
      <c r="N9" s="209"/>
      <c r="O9" s="209"/>
      <c r="P9" s="209"/>
      <c r="Q9" s="209"/>
      <c r="R9" s="209"/>
      <c r="S9" s="209"/>
      <c r="T9" s="209"/>
    </row>
    <row r="10" spans="1:20" ht="15.9" thickTop="1" thickBot="1" x14ac:dyDescent="0.4">
      <c r="A10" s="40">
        <v>6</v>
      </c>
      <c r="B10" s="204" t="str">
        <f>IF(Tageslicht!B10="","",Tageslicht!B10)</f>
        <v/>
      </c>
      <c r="C10" s="190"/>
      <c r="D10" s="190"/>
      <c r="E10" s="298"/>
      <c r="F10" s="299"/>
      <c r="G10" s="41" t="str">
        <f t="shared" si="2"/>
        <v/>
      </c>
      <c r="H10" s="203" t="str">
        <f t="shared" si="3"/>
        <v/>
      </c>
      <c r="I10" s="41">
        <f>Tageslicht!W10</f>
        <v>0</v>
      </c>
      <c r="J10" s="41" t="str">
        <f t="shared" si="0"/>
        <v/>
      </c>
      <c r="K10" s="41">
        <f>Tageslicht!S10*Tageslicht!H10</f>
        <v>0</v>
      </c>
      <c r="L10" s="41" t="str">
        <f t="shared" si="1"/>
        <v/>
      </c>
      <c r="M10" s="41" t="str">
        <f>IF(L10="","",IF(L10=3,Texte!$B$214,IF(L10=2,Texte!$B$215,IF(L10=1,Texte!$B$216,Texte!$B$217))))</f>
        <v/>
      </c>
      <c r="N10" s="209"/>
      <c r="O10" s="209"/>
      <c r="P10" s="209"/>
      <c r="Q10" s="209"/>
      <c r="R10" s="209"/>
      <c r="S10" s="209"/>
      <c r="T10" s="209"/>
    </row>
    <row r="11" spans="1:20" ht="15.9" thickTop="1" thickBot="1" x14ac:dyDescent="0.4">
      <c r="A11" s="40">
        <v>7</v>
      </c>
      <c r="B11" s="204" t="str">
        <f>IF(Tageslicht!B11="","",Tageslicht!B11)</f>
        <v/>
      </c>
      <c r="C11" s="190"/>
      <c r="D11" s="190"/>
      <c r="E11" s="298"/>
      <c r="F11" s="299"/>
      <c r="G11" s="41" t="str">
        <f t="shared" si="2"/>
        <v/>
      </c>
      <c r="H11" s="203" t="str">
        <f t="shared" si="3"/>
        <v/>
      </c>
      <c r="I11" s="41">
        <f>Tageslicht!W11</f>
        <v>0</v>
      </c>
      <c r="J11" s="41" t="str">
        <f t="shared" si="0"/>
        <v/>
      </c>
      <c r="K11" s="41">
        <f>Tageslicht!S11*Tageslicht!H11</f>
        <v>0</v>
      </c>
      <c r="L11" s="41" t="str">
        <f t="shared" si="1"/>
        <v/>
      </c>
      <c r="M11" s="41" t="str">
        <f>IF(L11="","",IF(L11=3,Texte!$B$214,IF(L11=2,Texte!$B$215,IF(L11=1,Texte!$B$216,Texte!$B$217))))</f>
        <v/>
      </c>
      <c r="N11" s="209"/>
      <c r="O11" s="209"/>
      <c r="P11" s="209"/>
      <c r="Q11" s="209"/>
      <c r="R11" s="209"/>
      <c r="S11" s="209"/>
      <c r="T11" s="209"/>
    </row>
    <row r="12" spans="1:20" ht="15.9" thickTop="1" thickBot="1" x14ac:dyDescent="0.4">
      <c r="A12" s="40">
        <v>8</v>
      </c>
      <c r="B12" s="204" t="str">
        <f>IF(Tageslicht!B12="","",Tageslicht!B12)</f>
        <v/>
      </c>
      <c r="C12" s="190"/>
      <c r="D12" s="190"/>
      <c r="E12" s="298"/>
      <c r="F12" s="299"/>
      <c r="G12" s="41" t="str">
        <f t="shared" si="2"/>
        <v/>
      </c>
      <c r="H12" s="203" t="str">
        <f t="shared" si="3"/>
        <v/>
      </c>
      <c r="I12" s="41">
        <f>Tageslicht!W12</f>
        <v>0</v>
      </c>
      <c r="J12" s="41" t="str">
        <f t="shared" si="0"/>
        <v/>
      </c>
      <c r="K12" s="41">
        <f>Tageslicht!S12*Tageslicht!H12</f>
        <v>0</v>
      </c>
      <c r="L12" s="41" t="str">
        <f t="shared" si="1"/>
        <v/>
      </c>
      <c r="M12" s="41" t="str">
        <f>IF(L12="","",IF(L12=3,Texte!$B$214,IF(L12=2,Texte!$B$215,IF(L12=1,Texte!$B$216,Texte!$B$217))))</f>
        <v/>
      </c>
      <c r="N12" s="209"/>
      <c r="O12" s="209"/>
      <c r="P12" s="209"/>
      <c r="Q12" s="209"/>
      <c r="R12" s="209"/>
      <c r="S12" s="209"/>
      <c r="T12" s="209"/>
    </row>
    <row r="13" spans="1:20" ht="15.9" thickTop="1" thickBot="1" x14ac:dyDescent="0.4">
      <c r="A13" s="40">
        <v>9</v>
      </c>
      <c r="B13" s="204" t="str">
        <f>IF(Tageslicht!B13="","",Tageslicht!B13)</f>
        <v/>
      </c>
      <c r="C13" s="190"/>
      <c r="D13" s="190"/>
      <c r="E13" s="298"/>
      <c r="F13" s="299"/>
      <c r="G13" s="41" t="str">
        <f t="shared" si="2"/>
        <v/>
      </c>
      <c r="H13" s="203" t="str">
        <f t="shared" si="3"/>
        <v/>
      </c>
      <c r="I13" s="41">
        <f>Tageslicht!W13</f>
        <v>0</v>
      </c>
      <c r="J13" s="41" t="str">
        <f t="shared" si="0"/>
        <v/>
      </c>
      <c r="K13" s="41">
        <f>Tageslicht!S13*Tageslicht!H13</f>
        <v>0</v>
      </c>
      <c r="L13" s="41" t="str">
        <f t="shared" si="1"/>
        <v/>
      </c>
      <c r="M13" s="41" t="str">
        <f>IF(L13="","",IF(L13=3,Texte!$B$214,IF(L13=2,Texte!$B$215,IF(L13=1,Texte!$B$216,Texte!$B$217))))</f>
        <v/>
      </c>
      <c r="N13" s="209"/>
      <c r="O13" s="209"/>
      <c r="P13" s="209"/>
      <c r="Q13" s="209"/>
      <c r="R13" s="209"/>
      <c r="S13" s="209"/>
      <c r="T13" s="209"/>
    </row>
    <row r="14" spans="1:20" ht="15.9" thickTop="1" thickBot="1" x14ac:dyDescent="0.4">
      <c r="A14" s="40">
        <v>10</v>
      </c>
      <c r="B14" s="204" t="str">
        <f>IF(Tageslicht!B14="","",Tageslicht!B14)</f>
        <v/>
      </c>
      <c r="C14" s="190"/>
      <c r="D14" s="190"/>
      <c r="E14" s="298"/>
      <c r="F14" s="299"/>
      <c r="G14" s="41" t="str">
        <f t="shared" si="2"/>
        <v/>
      </c>
      <c r="H14" s="203" t="str">
        <f t="shared" si="3"/>
        <v/>
      </c>
      <c r="I14" s="41">
        <f>Tageslicht!W14</f>
        <v>0</v>
      </c>
      <c r="J14" s="41" t="str">
        <f t="shared" si="0"/>
        <v/>
      </c>
      <c r="K14" s="41">
        <f>Tageslicht!S14*Tageslicht!H14</f>
        <v>0</v>
      </c>
      <c r="L14" s="41" t="str">
        <f t="shared" si="1"/>
        <v/>
      </c>
      <c r="M14" s="41" t="str">
        <f>IF(L14="","",IF(L14=3,Texte!$B$214,IF(L14=2,Texte!$B$215,IF(L14=1,Texte!$B$216,Texte!$B$217))))</f>
        <v/>
      </c>
      <c r="N14" s="209"/>
      <c r="O14" s="209"/>
      <c r="P14" s="209"/>
      <c r="Q14" s="209"/>
      <c r="R14" s="209"/>
      <c r="S14" s="209"/>
      <c r="T14" s="209"/>
    </row>
    <row r="15" spans="1:20" ht="15.9" thickTop="1" thickBot="1" x14ac:dyDescent="0.4">
      <c r="A15" s="40">
        <v>11</v>
      </c>
      <c r="B15" s="204" t="str">
        <f>IF(Tageslicht!B15="","",Tageslicht!B15)</f>
        <v/>
      </c>
      <c r="C15" s="190"/>
      <c r="D15" s="190"/>
      <c r="E15" s="298"/>
      <c r="F15" s="299"/>
      <c r="G15" s="41" t="str">
        <f t="shared" si="2"/>
        <v/>
      </c>
      <c r="H15" s="203" t="str">
        <f t="shared" si="3"/>
        <v/>
      </c>
      <c r="I15" s="41">
        <f>Tageslicht!W15</f>
        <v>0</v>
      </c>
      <c r="J15" s="41" t="str">
        <f t="shared" si="0"/>
        <v/>
      </c>
      <c r="K15" s="41">
        <f>Tageslicht!S15*Tageslicht!H15</f>
        <v>0</v>
      </c>
      <c r="L15" s="41" t="str">
        <f t="shared" si="1"/>
        <v/>
      </c>
      <c r="M15" s="41" t="str">
        <f>IF(L15="","",IF(L15=3,Texte!$B$214,IF(L15=2,Texte!$B$215,IF(L15=1,Texte!$B$216,Texte!$B$217))))</f>
        <v/>
      </c>
      <c r="N15" s="209"/>
      <c r="O15" s="209"/>
      <c r="P15" s="209"/>
      <c r="Q15" s="209"/>
      <c r="R15" s="209"/>
      <c r="S15" s="209"/>
      <c r="T15" s="209"/>
    </row>
    <row r="16" spans="1:20" ht="15.9" thickTop="1" thickBot="1" x14ac:dyDescent="0.4">
      <c r="A16" s="40">
        <v>12</v>
      </c>
      <c r="B16" s="204" t="str">
        <f>IF(Tageslicht!B16="","",Tageslicht!B16)</f>
        <v/>
      </c>
      <c r="C16" s="190"/>
      <c r="D16" s="190"/>
      <c r="E16" s="298"/>
      <c r="F16" s="299"/>
      <c r="G16" s="41" t="str">
        <f t="shared" si="2"/>
        <v/>
      </c>
      <c r="H16" s="203" t="str">
        <f t="shared" si="3"/>
        <v/>
      </c>
      <c r="I16" s="41">
        <f>Tageslicht!W16</f>
        <v>0</v>
      </c>
      <c r="J16" s="41" t="str">
        <f t="shared" si="0"/>
        <v/>
      </c>
      <c r="K16" s="41">
        <f>Tageslicht!S16*Tageslicht!H16</f>
        <v>0</v>
      </c>
      <c r="L16" s="41" t="str">
        <f t="shared" si="1"/>
        <v/>
      </c>
      <c r="M16" s="41" t="str">
        <f>IF(L16="","",IF(L16=3,Texte!$B$214,IF(L16=2,Texte!$B$215,IF(L16=1,Texte!$B$216,Texte!$B$217))))</f>
        <v/>
      </c>
      <c r="N16" s="209"/>
      <c r="O16" s="209"/>
      <c r="P16" s="209"/>
      <c r="Q16" s="209"/>
      <c r="R16" s="209"/>
      <c r="S16" s="209"/>
      <c r="T16" s="209"/>
    </row>
    <row r="17" spans="1:20" ht="15.9" thickTop="1" thickBot="1" x14ac:dyDescent="0.4">
      <c r="A17" s="40">
        <v>13</v>
      </c>
      <c r="B17" s="204" t="str">
        <f>IF(Tageslicht!B17="","",Tageslicht!B17)</f>
        <v/>
      </c>
      <c r="C17" s="190"/>
      <c r="D17" s="190"/>
      <c r="E17" s="298"/>
      <c r="F17" s="299"/>
      <c r="G17" s="41" t="str">
        <f t="shared" si="2"/>
        <v/>
      </c>
      <c r="H17" s="203" t="str">
        <f t="shared" si="3"/>
        <v/>
      </c>
      <c r="I17" s="41">
        <f>Tageslicht!W17</f>
        <v>0</v>
      </c>
      <c r="J17" s="41" t="str">
        <f t="shared" si="0"/>
        <v/>
      </c>
      <c r="K17" s="41">
        <f>Tageslicht!S17*Tageslicht!H17</f>
        <v>0</v>
      </c>
      <c r="L17" s="41" t="str">
        <f t="shared" si="1"/>
        <v/>
      </c>
      <c r="M17" s="41" t="str">
        <f>IF(L17="","",IF(L17=3,Texte!$B$214,IF(L17=2,Texte!$B$215,IF(L17=1,Texte!$B$216,Texte!$B$217))))</f>
        <v/>
      </c>
      <c r="N17" s="209"/>
      <c r="O17" s="209"/>
      <c r="P17" s="209"/>
      <c r="Q17" s="209"/>
      <c r="R17" s="209"/>
      <c r="S17" s="209"/>
      <c r="T17" s="209"/>
    </row>
    <row r="18" spans="1:20" ht="15.9" thickTop="1" thickBot="1" x14ac:dyDescent="0.4">
      <c r="A18" s="40">
        <v>14</v>
      </c>
      <c r="B18" s="204" t="str">
        <f>IF(Tageslicht!B18="","",Tageslicht!B18)</f>
        <v/>
      </c>
      <c r="C18" s="190"/>
      <c r="D18" s="190"/>
      <c r="E18" s="298"/>
      <c r="F18" s="299"/>
      <c r="G18" s="41" t="str">
        <f t="shared" si="2"/>
        <v/>
      </c>
      <c r="H18" s="203" t="str">
        <f t="shared" si="3"/>
        <v/>
      </c>
      <c r="I18" s="41">
        <f>Tageslicht!W18</f>
        <v>0</v>
      </c>
      <c r="J18" s="41" t="str">
        <f t="shared" si="0"/>
        <v/>
      </c>
      <c r="K18" s="41">
        <f>Tageslicht!S18*Tageslicht!H18</f>
        <v>0</v>
      </c>
      <c r="L18" s="41" t="str">
        <f t="shared" si="1"/>
        <v/>
      </c>
      <c r="M18" s="41" t="str">
        <f>IF(L18="","",IF(L18=3,Texte!$B$214,IF(L18=2,Texte!$B$215,IF(L18=1,Texte!$B$216,Texte!$B$217))))</f>
        <v/>
      </c>
      <c r="N18" s="209"/>
      <c r="O18" s="209"/>
      <c r="P18" s="209"/>
      <c r="Q18" s="209"/>
      <c r="R18" s="209"/>
      <c r="S18" s="209"/>
      <c r="T18" s="209"/>
    </row>
    <row r="19" spans="1:20" ht="15.9" thickTop="1" thickBot="1" x14ac:dyDescent="0.4">
      <c r="A19" s="40">
        <v>15</v>
      </c>
      <c r="B19" s="204" t="str">
        <f>IF(Tageslicht!B19="","",Tageslicht!B19)</f>
        <v/>
      </c>
      <c r="C19" s="190"/>
      <c r="D19" s="190"/>
      <c r="E19" s="298"/>
      <c r="F19" s="299"/>
      <c r="G19" s="41" t="str">
        <f t="shared" si="2"/>
        <v/>
      </c>
      <c r="H19" s="203" t="str">
        <f t="shared" si="3"/>
        <v/>
      </c>
      <c r="I19" s="41">
        <f>Tageslicht!W19</f>
        <v>0</v>
      </c>
      <c r="J19" s="41" t="str">
        <f t="shared" si="0"/>
        <v/>
      </c>
      <c r="K19" s="41">
        <f>Tageslicht!S19*Tageslicht!H19</f>
        <v>0</v>
      </c>
      <c r="L19" s="41" t="str">
        <f t="shared" si="1"/>
        <v/>
      </c>
      <c r="M19" s="41" t="str">
        <f>IF(L19="","",IF(L19=3,Texte!$B$214,IF(L19=2,Texte!$B$215,IF(L19=1,Texte!$B$216,Texte!$B$217))))</f>
        <v/>
      </c>
      <c r="N19" s="209"/>
      <c r="O19" s="209"/>
      <c r="P19" s="209"/>
      <c r="Q19" s="209"/>
      <c r="R19" s="209"/>
      <c r="S19" s="209"/>
      <c r="T19" s="209"/>
    </row>
    <row r="20" spans="1:20" ht="15.9" thickTop="1" thickBot="1" x14ac:dyDescent="0.4">
      <c r="A20" s="40">
        <v>16</v>
      </c>
      <c r="B20" s="204" t="str">
        <f>IF(Tageslicht!B20="","",Tageslicht!B20)</f>
        <v/>
      </c>
      <c r="C20" s="190"/>
      <c r="D20" s="190"/>
      <c r="E20" s="298"/>
      <c r="F20" s="299"/>
      <c r="G20" s="41" t="str">
        <f t="shared" si="2"/>
        <v/>
      </c>
      <c r="H20" s="203" t="str">
        <f t="shared" si="3"/>
        <v/>
      </c>
      <c r="I20" s="41">
        <f>Tageslicht!W20</f>
        <v>0</v>
      </c>
      <c r="J20" s="41" t="str">
        <f t="shared" si="0"/>
        <v/>
      </c>
      <c r="K20" s="41">
        <f>Tageslicht!S20*Tageslicht!H20</f>
        <v>0</v>
      </c>
      <c r="L20" s="41" t="str">
        <f t="shared" si="1"/>
        <v/>
      </c>
      <c r="M20" s="41" t="str">
        <f>IF(L20="","",IF(L20=3,Texte!$B$214,IF(L20=2,Texte!$B$215,IF(L20=1,Texte!$B$216,Texte!$B$217))))</f>
        <v/>
      </c>
      <c r="N20" s="209"/>
      <c r="O20" s="209"/>
      <c r="P20" s="209"/>
      <c r="Q20" s="209"/>
      <c r="R20" s="209"/>
      <c r="S20" s="209"/>
      <c r="T20" s="209"/>
    </row>
    <row r="21" spans="1:20" ht="15.9" thickTop="1" thickBot="1" x14ac:dyDescent="0.4">
      <c r="A21" s="40">
        <v>17</v>
      </c>
      <c r="B21" s="204" t="str">
        <f>IF(Tageslicht!B21="","",Tageslicht!B21)</f>
        <v/>
      </c>
      <c r="C21" s="190"/>
      <c r="D21" s="190"/>
      <c r="E21" s="298"/>
      <c r="F21" s="299"/>
      <c r="G21" s="41" t="str">
        <f t="shared" si="2"/>
        <v/>
      </c>
      <c r="H21" s="203" t="str">
        <f t="shared" si="3"/>
        <v/>
      </c>
      <c r="I21" s="41">
        <f>Tageslicht!W21</f>
        <v>0</v>
      </c>
      <c r="J21" s="41" t="str">
        <f t="shared" si="0"/>
        <v/>
      </c>
      <c r="K21" s="41">
        <f>Tageslicht!S21*Tageslicht!H21</f>
        <v>0</v>
      </c>
      <c r="L21" s="41" t="str">
        <f t="shared" si="1"/>
        <v/>
      </c>
      <c r="M21" s="41" t="str">
        <f>IF(L21="","",IF(L21=3,Texte!$B$214,IF(L21=2,Texte!$B$215,IF(L21=1,Texte!$B$216,Texte!$B$217))))</f>
        <v/>
      </c>
      <c r="N21" s="209"/>
      <c r="O21" s="209"/>
      <c r="P21" s="209"/>
      <c r="Q21" s="209"/>
      <c r="R21" s="209"/>
      <c r="S21" s="209"/>
      <c r="T21" s="209"/>
    </row>
    <row r="22" spans="1:20" ht="15.9" thickTop="1" thickBot="1" x14ac:dyDescent="0.4">
      <c r="A22" s="40">
        <v>18</v>
      </c>
      <c r="B22" s="204" t="str">
        <f>IF(Tageslicht!B22="","",Tageslicht!B22)</f>
        <v/>
      </c>
      <c r="C22" s="190"/>
      <c r="D22" s="190"/>
      <c r="E22" s="304"/>
      <c r="F22" s="305"/>
      <c r="G22" s="41" t="str">
        <f t="shared" si="2"/>
        <v/>
      </c>
      <c r="H22" s="203" t="str">
        <f t="shared" si="3"/>
        <v/>
      </c>
      <c r="I22" s="41">
        <f>Tageslicht!W22</f>
        <v>0</v>
      </c>
      <c r="J22" s="41" t="str">
        <f t="shared" si="0"/>
        <v/>
      </c>
      <c r="K22" s="41">
        <f>Tageslicht!S22*Tageslicht!H22</f>
        <v>0</v>
      </c>
      <c r="L22" s="41" t="str">
        <f t="shared" si="1"/>
        <v/>
      </c>
      <c r="M22" s="41" t="str">
        <f>IF(L22="","",IF(L22=3,Texte!$B$214,IF(L22=2,Texte!$B$215,IF(L22=1,Texte!$B$216,Texte!$B$217))))</f>
        <v/>
      </c>
      <c r="N22" s="209"/>
      <c r="O22" s="209"/>
      <c r="P22" s="209"/>
      <c r="Q22" s="209"/>
      <c r="R22" s="209"/>
      <c r="S22" s="209"/>
      <c r="T22" s="209"/>
    </row>
    <row r="23" spans="1:20" ht="15.9" thickTop="1" thickBot="1" x14ac:dyDescent="0.4">
      <c r="A23" s="40">
        <v>19</v>
      </c>
      <c r="B23" s="204" t="str">
        <f>IF(Tageslicht!B23="","",Tageslicht!B23)</f>
        <v/>
      </c>
      <c r="C23" s="190"/>
      <c r="D23" s="190"/>
      <c r="E23" s="298"/>
      <c r="F23" s="299"/>
      <c r="G23" s="41" t="str">
        <f t="shared" si="2"/>
        <v/>
      </c>
      <c r="H23" s="203" t="str">
        <f t="shared" si="3"/>
        <v/>
      </c>
      <c r="I23" s="41">
        <f>Tageslicht!W23</f>
        <v>0</v>
      </c>
      <c r="J23" s="41" t="str">
        <f t="shared" si="0"/>
        <v/>
      </c>
      <c r="K23" s="41">
        <f>Tageslicht!S23*Tageslicht!H23</f>
        <v>0</v>
      </c>
      <c r="L23" s="41" t="str">
        <f t="shared" si="1"/>
        <v/>
      </c>
      <c r="M23" s="41" t="str">
        <f>IF(L23="","",IF(L23=3,Texte!$B$214,IF(L23=2,Texte!$B$215,IF(L23=1,Texte!$B$216,Texte!$B$217))))</f>
        <v/>
      </c>
      <c r="N23" s="209"/>
      <c r="O23" s="209"/>
      <c r="P23" s="209"/>
      <c r="Q23" s="209"/>
      <c r="R23" s="209"/>
      <c r="S23" s="209"/>
      <c r="T23" s="209"/>
    </row>
    <row r="24" spans="1:20" ht="15.9" thickTop="1" thickBot="1" x14ac:dyDescent="0.4">
      <c r="A24" s="40">
        <v>20</v>
      </c>
      <c r="B24" s="204" t="str">
        <f>IF(Tageslicht!B24="","",Tageslicht!B24)</f>
        <v/>
      </c>
      <c r="C24" s="190"/>
      <c r="D24" s="190"/>
      <c r="E24" s="298"/>
      <c r="F24" s="299"/>
      <c r="G24" s="41" t="str">
        <f t="shared" si="2"/>
        <v/>
      </c>
      <c r="H24" s="203" t="str">
        <f t="shared" si="3"/>
        <v/>
      </c>
      <c r="I24" s="41">
        <f>Tageslicht!W24</f>
        <v>0</v>
      </c>
      <c r="J24" s="41" t="str">
        <f t="shared" si="0"/>
        <v/>
      </c>
      <c r="K24" s="41">
        <f>Tageslicht!S24*Tageslicht!H24</f>
        <v>0</v>
      </c>
      <c r="L24" s="41" t="str">
        <f t="shared" si="1"/>
        <v/>
      </c>
      <c r="M24" s="41" t="str">
        <f>IF(L24="","",IF(L24=3,Texte!$B$214,IF(L24=2,Texte!$B$215,IF(L24=1,Texte!$B$216,Texte!$B$217))))</f>
        <v/>
      </c>
      <c r="N24" s="209"/>
      <c r="O24" s="209"/>
      <c r="P24" s="209"/>
      <c r="Q24" s="209"/>
      <c r="R24" s="209"/>
      <c r="S24" s="209"/>
      <c r="T24" s="209"/>
    </row>
    <row r="25" spans="1:20" ht="15.9" thickTop="1" thickBot="1" x14ac:dyDescent="0.4">
      <c r="A25" s="40">
        <v>21</v>
      </c>
      <c r="B25" s="204" t="str">
        <f>IF(Tageslicht!B25="","",Tageslicht!B25)</f>
        <v/>
      </c>
      <c r="C25" s="190"/>
      <c r="D25" s="190"/>
      <c r="E25" s="298"/>
      <c r="F25" s="299"/>
      <c r="G25" s="41" t="str">
        <f t="shared" si="2"/>
        <v/>
      </c>
      <c r="H25" s="203" t="str">
        <f t="shared" si="3"/>
        <v/>
      </c>
      <c r="I25" s="41">
        <f>Tageslicht!W25</f>
        <v>0</v>
      </c>
      <c r="J25" s="41" t="str">
        <f t="shared" si="0"/>
        <v/>
      </c>
      <c r="K25" s="41">
        <f>Tageslicht!S25*Tageslicht!H25</f>
        <v>0</v>
      </c>
      <c r="L25" s="41" t="str">
        <f t="shared" si="1"/>
        <v/>
      </c>
      <c r="M25" s="41" t="str">
        <f>IF(L25="","",IF(L25=3,Texte!$B$214,IF(L25=2,Texte!$B$215,IF(L25=1,Texte!$B$216,Texte!$B$217))))</f>
        <v/>
      </c>
      <c r="N25" s="209"/>
      <c r="O25" s="209"/>
      <c r="P25" s="209"/>
      <c r="Q25" s="209"/>
      <c r="R25" s="209"/>
      <c r="S25" s="209"/>
      <c r="T25" s="209"/>
    </row>
    <row r="26" spans="1:20" ht="15.9" thickTop="1" thickBot="1" x14ac:dyDescent="0.4">
      <c r="A26" s="40">
        <v>22</v>
      </c>
      <c r="B26" s="204" t="str">
        <f>IF(Tageslicht!B26="","",Tageslicht!B26)</f>
        <v/>
      </c>
      <c r="C26" s="190"/>
      <c r="D26" s="190"/>
      <c r="E26" s="298"/>
      <c r="F26" s="299"/>
      <c r="G26" s="41" t="str">
        <f t="shared" si="2"/>
        <v/>
      </c>
      <c r="H26" s="203" t="str">
        <f t="shared" si="3"/>
        <v/>
      </c>
      <c r="I26" s="41">
        <f>Tageslicht!W26</f>
        <v>0</v>
      </c>
      <c r="J26" s="41" t="str">
        <f t="shared" si="0"/>
        <v/>
      </c>
      <c r="K26" s="41">
        <f>Tageslicht!S26*Tageslicht!H26</f>
        <v>0</v>
      </c>
      <c r="L26" s="41" t="str">
        <f t="shared" si="1"/>
        <v/>
      </c>
      <c r="M26" s="41" t="str">
        <f>IF(L26="","",IF(L26=3,Texte!$B$214,IF(L26=2,Texte!$B$215,IF(L26=1,Texte!$B$216,Texte!$B$217))))</f>
        <v/>
      </c>
      <c r="N26" s="209"/>
      <c r="O26" s="209"/>
      <c r="P26" s="209"/>
      <c r="Q26" s="209"/>
      <c r="R26" s="209"/>
      <c r="S26" s="209"/>
      <c r="T26" s="209"/>
    </row>
    <row r="27" spans="1:20" ht="15.9" thickTop="1" thickBot="1" x14ac:dyDescent="0.4">
      <c r="A27" s="40">
        <v>23</v>
      </c>
      <c r="B27" s="204" t="str">
        <f>IF(Tageslicht!B27="","",Tageslicht!B27)</f>
        <v/>
      </c>
      <c r="C27" s="190"/>
      <c r="D27" s="190"/>
      <c r="E27" s="298"/>
      <c r="F27" s="299"/>
      <c r="G27" s="41" t="str">
        <f t="shared" si="2"/>
        <v/>
      </c>
      <c r="H27" s="203" t="str">
        <f t="shared" si="3"/>
        <v/>
      </c>
      <c r="I27" s="41">
        <f>Tageslicht!W27</f>
        <v>0</v>
      </c>
      <c r="J27" s="41" t="str">
        <f t="shared" si="0"/>
        <v/>
      </c>
      <c r="K27" s="41">
        <f>Tageslicht!S27*Tageslicht!H27</f>
        <v>0</v>
      </c>
      <c r="L27" s="41" t="str">
        <f t="shared" si="1"/>
        <v/>
      </c>
      <c r="M27" s="41" t="str">
        <f>IF(L27="","",IF(L27=3,Texte!$B$214,IF(L27=2,Texte!$B$215,IF(L27=1,Texte!$B$216,Texte!$B$217))))</f>
        <v/>
      </c>
      <c r="N27" s="209"/>
      <c r="O27" s="209"/>
      <c r="P27" s="209"/>
      <c r="Q27" s="209"/>
      <c r="R27" s="209"/>
      <c r="S27" s="209"/>
      <c r="T27" s="209"/>
    </row>
    <row r="28" spans="1:20" ht="15.9" thickTop="1" thickBot="1" x14ac:dyDescent="0.4">
      <c r="A28" s="40">
        <v>24</v>
      </c>
      <c r="B28" s="204" t="str">
        <f>IF(Tageslicht!B28="","",Tageslicht!B28)</f>
        <v/>
      </c>
      <c r="C28" s="190"/>
      <c r="D28" s="190"/>
      <c r="E28" s="298"/>
      <c r="F28" s="299"/>
      <c r="G28" s="41" t="str">
        <f t="shared" si="2"/>
        <v/>
      </c>
      <c r="H28" s="203" t="str">
        <f t="shared" si="3"/>
        <v/>
      </c>
      <c r="I28" s="41">
        <f>Tageslicht!W28</f>
        <v>0</v>
      </c>
      <c r="J28" s="41" t="str">
        <f t="shared" si="0"/>
        <v/>
      </c>
      <c r="K28" s="41">
        <f>Tageslicht!S28*Tageslicht!H28</f>
        <v>0</v>
      </c>
      <c r="L28" s="41" t="str">
        <f t="shared" si="1"/>
        <v/>
      </c>
      <c r="M28" s="41" t="str">
        <f>IF(L28="","",IF(L28=3,Texte!$B$214,IF(L28=2,Texte!$B$215,IF(L28=1,Texte!$B$216,Texte!$B$217))))</f>
        <v/>
      </c>
      <c r="N28" s="209"/>
      <c r="O28" s="209"/>
      <c r="P28" s="209"/>
      <c r="Q28" s="209"/>
      <c r="R28" s="209"/>
      <c r="S28" s="209"/>
      <c r="T28" s="209"/>
    </row>
    <row r="29" spans="1:20" ht="15.9" thickTop="1" thickBot="1" x14ac:dyDescent="0.4">
      <c r="A29" s="40">
        <v>25</v>
      </c>
      <c r="B29" s="204" t="str">
        <f>IF(Tageslicht!B29="","",Tageslicht!B29)</f>
        <v/>
      </c>
      <c r="C29" s="190"/>
      <c r="D29" s="190"/>
      <c r="E29" s="298"/>
      <c r="F29" s="299"/>
      <c r="G29" s="41" t="str">
        <f t="shared" si="2"/>
        <v/>
      </c>
      <c r="H29" s="203" t="str">
        <f t="shared" si="3"/>
        <v/>
      </c>
      <c r="I29" s="41">
        <f>Tageslicht!W29</f>
        <v>0</v>
      </c>
      <c r="J29" s="41" t="str">
        <f t="shared" si="0"/>
        <v/>
      </c>
      <c r="K29" s="41">
        <f>Tageslicht!S29*Tageslicht!H29</f>
        <v>0</v>
      </c>
      <c r="L29" s="41" t="str">
        <f t="shared" si="1"/>
        <v/>
      </c>
      <c r="M29" s="41" t="str">
        <f>IF(L29="","",IF(L29=3,Texte!$B$214,IF(L29=2,Texte!$B$215,IF(L29=1,Texte!$B$216,Texte!$B$217))))</f>
        <v/>
      </c>
      <c r="N29" s="209"/>
      <c r="O29" s="209"/>
      <c r="P29" s="209"/>
      <c r="Q29" s="209"/>
      <c r="R29" s="209"/>
      <c r="S29" s="209"/>
      <c r="T29" s="209"/>
    </row>
    <row r="30" spans="1:20" ht="15.9" thickTop="1" thickBot="1" x14ac:dyDescent="0.4">
      <c r="A30" s="40">
        <v>26</v>
      </c>
      <c r="B30" s="204" t="str">
        <f>IF(Tageslicht!B30="","",Tageslicht!B30)</f>
        <v/>
      </c>
      <c r="C30" s="190"/>
      <c r="D30" s="190"/>
      <c r="E30" s="298"/>
      <c r="F30" s="299"/>
      <c r="G30" s="41" t="str">
        <f t="shared" si="2"/>
        <v/>
      </c>
      <c r="H30" s="203" t="str">
        <f t="shared" si="3"/>
        <v/>
      </c>
      <c r="I30" s="41">
        <f>Tageslicht!W30</f>
        <v>0</v>
      </c>
      <c r="J30" s="41" t="str">
        <f t="shared" si="0"/>
        <v/>
      </c>
      <c r="K30" s="41">
        <f>Tageslicht!S30*Tageslicht!H30</f>
        <v>0</v>
      </c>
      <c r="L30" s="41" t="str">
        <f t="shared" si="1"/>
        <v/>
      </c>
      <c r="M30" s="41" t="str">
        <f>IF(L30="","",IF(L30=3,Texte!$B$214,IF(L30=2,Texte!$B$215,IF(L30=1,Texte!$B$216,Texte!$B$217))))</f>
        <v/>
      </c>
      <c r="N30" s="209"/>
      <c r="O30" s="209"/>
      <c r="P30" s="209"/>
      <c r="Q30" s="209"/>
      <c r="R30" s="209"/>
      <c r="S30" s="209"/>
      <c r="T30" s="209"/>
    </row>
    <row r="31" spans="1:20" ht="15.9" thickTop="1" thickBot="1" x14ac:dyDescent="0.4">
      <c r="A31" s="40">
        <v>27</v>
      </c>
      <c r="B31" s="204" t="str">
        <f>IF(Tageslicht!B31="","",Tageslicht!B31)</f>
        <v/>
      </c>
      <c r="C31" s="190"/>
      <c r="D31" s="190"/>
      <c r="E31" s="298"/>
      <c r="F31" s="299"/>
      <c r="G31" s="41" t="str">
        <f t="shared" si="2"/>
        <v/>
      </c>
      <c r="H31" s="203" t="str">
        <f t="shared" si="3"/>
        <v/>
      </c>
      <c r="I31" s="41">
        <f>Tageslicht!W31</f>
        <v>0</v>
      </c>
      <c r="J31" s="41" t="str">
        <f t="shared" si="0"/>
        <v/>
      </c>
      <c r="K31" s="41">
        <f>Tageslicht!S31*Tageslicht!H31</f>
        <v>0</v>
      </c>
      <c r="L31" s="41" t="str">
        <f t="shared" si="1"/>
        <v/>
      </c>
      <c r="M31" s="41" t="str">
        <f>IF(L31="","",IF(L31=3,Texte!$B$214,IF(L31=2,Texte!$B$215,IF(L31=1,Texte!$B$216,Texte!$B$217))))</f>
        <v/>
      </c>
      <c r="N31" s="209"/>
      <c r="O31" s="209"/>
      <c r="P31" s="209"/>
      <c r="Q31" s="209"/>
      <c r="R31" s="209"/>
      <c r="S31" s="209"/>
      <c r="T31" s="209"/>
    </row>
    <row r="32" spans="1:20" ht="15.9" thickTop="1" thickBot="1" x14ac:dyDescent="0.4">
      <c r="A32" s="40">
        <v>28</v>
      </c>
      <c r="B32" s="204" t="str">
        <f>IF(Tageslicht!B32="","",Tageslicht!B32)</f>
        <v/>
      </c>
      <c r="C32" s="190"/>
      <c r="D32" s="190"/>
      <c r="E32" s="298"/>
      <c r="F32" s="299"/>
      <c r="G32" s="41" t="str">
        <f t="shared" si="2"/>
        <v/>
      </c>
      <c r="H32" s="203" t="str">
        <f t="shared" si="3"/>
        <v/>
      </c>
      <c r="I32" s="41">
        <f>Tageslicht!W32</f>
        <v>0</v>
      </c>
      <c r="J32" s="41" t="str">
        <f t="shared" si="0"/>
        <v/>
      </c>
      <c r="K32" s="41">
        <f>Tageslicht!S32*Tageslicht!H32</f>
        <v>0</v>
      </c>
      <c r="L32" s="41" t="str">
        <f t="shared" si="1"/>
        <v/>
      </c>
      <c r="M32" s="41" t="str">
        <f>IF(L32="","",IF(L32=3,Texte!$B$214,IF(L32=2,Texte!$B$215,IF(L32=1,Texte!$B$216,Texte!$B$217))))</f>
        <v/>
      </c>
      <c r="N32" s="209"/>
      <c r="O32" s="209"/>
      <c r="P32" s="209"/>
      <c r="Q32" s="209"/>
      <c r="R32" s="209"/>
      <c r="S32" s="209"/>
      <c r="T32" s="209"/>
    </row>
    <row r="33" spans="1:20" ht="15.9" thickTop="1" thickBot="1" x14ac:dyDescent="0.4">
      <c r="A33" s="40">
        <v>29</v>
      </c>
      <c r="B33" s="204" t="str">
        <f>IF(Tageslicht!B33="","",Tageslicht!B33)</f>
        <v/>
      </c>
      <c r="C33" s="190"/>
      <c r="D33" s="190"/>
      <c r="E33" s="298"/>
      <c r="F33" s="299"/>
      <c r="G33" s="41" t="str">
        <f t="shared" si="2"/>
        <v/>
      </c>
      <c r="H33" s="203" t="str">
        <f t="shared" si="3"/>
        <v/>
      </c>
      <c r="I33" s="41">
        <f>Tageslicht!W33</f>
        <v>0</v>
      </c>
      <c r="J33" s="41" t="str">
        <f t="shared" si="0"/>
        <v/>
      </c>
      <c r="K33" s="41">
        <f>Tageslicht!S33*Tageslicht!H33</f>
        <v>0</v>
      </c>
      <c r="L33" s="41" t="str">
        <f t="shared" si="1"/>
        <v/>
      </c>
      <c r="M33" s="41" t="str">
        <f>IF(L33="","",IF(L33=3,Texte!$B$214,IF(L33=2,Texte!$B$215,IF(L33=1,Texte!$B$216,Texte!$B$217))))</f>
        <v/>
      </c>
      <c r="N33" s="209"/>
      <c r="O33" s="209"/>
      <c r="P33" s="209"/>
      <c r="Q33" s="209"/>
      <c r="R33" s="209"/>
      <c r="S33" s="209"/>
      <c r="T33" s="209"/>
    </row>
    <row r="34" spans="1:20" ht="15.9" thickTop="1" thickBot="1" x14ac:dyDescent="0.4">
      <c r="A34" s="40">
        <v>30</v>
      </c>
      <c r="B34" s="204" t="str">
        <f>IF(Tageslicht!B34="","",Tageslicht!B34)</f>
        <v/>
      </c>
      <c r="C34" s="190"/>
      <c r="D34" s="190"/>
      <c r="E34" s="298"/>
      <c r="F34" s="299"/>
      <c r="G34" s="41" t="str">
        <f t="shared" si="2"/>
        <v/>
      </c>
      <c r="H34" s="203" t="str">
        <f t="shared" si="3"/>
        <v/>
      </c>
      <c r="I34" s="41">
        <f>Tageslicht!W34</f>
        <v>0</v>
      </c>
      <c r="J34" s="41" t="str">
        <f t="shared" si="0"/>
        <v/>
      </c>
      <c r="K34" s="41">
        <f>Tageslicht!S34*Tageslicht!H34</f>
        <v>0</v>
      </c>
      <c r="L34" s="41" t="str">
        <f t="shared" si="1"/>
        <v/>
      </c>
      <c r="M34" s="41" t="str">
        <f>IF(L34="","",IF(L34=3,Texte!$B$214,IF(L34=2,Texte!$B$215,IF(L34=1,Texte!$B$216,Texte!$B$217))))</f>
        <v/>
      </c>
      <c r="N34" s="209"/>
      <c r="O34" s="209"/>
      <c r="P34" s="209"/>
      <c r="Q34" s="209"/>
      <c r="R34" s="209"/>
      <c r="S34" s="209"/>
      <c r="T34" s="209"/>
    </row>
    <row r="35" spans="1:20" ht="15.9" thickTop="1" thickBot="1" x14ac:dyDescent="0.4">
      <c r="A35" s="103"/>
      <c r="B35" s="103"/>
      <c r="K35" s="41">
        <f>SUM(K5:K34)</f>
        <v>0</v>
      </c>
      <c r="L35" s="41">
        <f>IFERROR(ROUND(SUMPRODUCT(L5:L34,K5:K34)/SummeRaumflaeche,1),0)</f>
        <v>0</v>
      </c>
      <c r="M35" s="41" t="str">
        <f>IF(L35="","",IF(L35&gt;=3,Texte!$B$214,IF(L35&gt;=2,Texte!$B$215,IF(L35&gt;=1,Texte!$B$216,Texte!$B$217))))</f>
        <v>ungenügend</v>
      </c>
      <c r="N35" s="209"/>
      <c r="O35" s="209"/>
      <c r="P35" s="209"/>
      <c r="Q35" s="209"/>
      <c r="R35" s="209"/>
      <c r="S35" s="209"/>
      <c r="T35" s="209"/>
    </row>
    <row r="36" spans="1:20" ht="21" customHeight="1" thickTop="1" x14ac:dyDescent="0.35">
      <c r="A36" s="94"/>
      <c r="B36" s="95" t="str">
        <f>VLOOKUP(ADDRESS(ROW(),COLUMN(),4),MatrixTexteT5,2,FALSE)</f>
        <v>Ergebnisse</v>
      </c>
      <c r="C36" s="300" t="str">
        <f>VLOOKUP(ADDRESS(ROW(),COLUMN(),4),MatrixTexteT5,2,FALSE)</f>
        <v>Resultate aus diesem Blatt</v>
      </c>
      <c r="D36" s="301"/>
      <c r="E36" s="165" t="str">
        <f>VLOOKUP(ADDRESS(ROW(),COLUMN(),4),MatrixTexteT5,2,FALSE)</f>
        <v>Übertrag aus weiterem Nachw.</v>
      </c>
      <c r="F36" s="95"/>
      <c r="G36" s="165" t="str">
        <f>VLOOKUP(ADDRESS(ROW(),COLUMN(),4),MatrixTexteT5,2,FALSE)</f>
        <v>Gesamtresultat</v>
      </c>
      <c r="H36" s="191"/>
      <c r="L36" s="165" t="s">
        <v>1093</v>
      </c>
      <c r="M36" s="191"/>
      <c r="N36" s="209"/>
      <c r="O36" s="209"/>
      <c r="P36" s="209"/>
      <c r="Q36" s="209"/>
      <c r="R36" s="209"/>
      <c r="S36" s="209"/>
      <c r="T36" s="209"/>
    </row>
    <row r="37" spans="1:20" ht="15" customHeight="1" thickBot="1" x14ac:dyDescent="0.4">
      <c r="A37" s="32"/>
      <c r="B37" s="33" t="str">
        <f>VLOOKUP(ADDRESS(ROW(),COLUMN(),4),MatrixTexteT5,2,FALSE)</f>
        <v>Bezeichnung</v>
      </c>
      <c r="C37" s="192" t="str">
        <f>VLOOKUP(ADDRESS(ROW(),COLUMN(),4),MatrixTexteT5,2,FALSE)</f>
        <v>Gesamtfläche</v>
      </c>
      <c r="D37" s="192" t="str">
        <f>VLOOKUP(ADDRESS(ROW(),COLUMN(),4),MatrixTexteT5,2,FALSE)</f>
        <v>Resultat</v>
      </c>
      <c r="E37" s="192" t="str">
        <f>VLOOKUP(ADDRESS(ROW(),COLUMN(),4),MatrixTexteT5,2,FALSE)</f>
        <v>Gesamtfläche</v>
      </c>
      <c r="F37" s="192" t="str">
        <f>VLOOKUP(ADDRESS(ROW(),COLUMN(),4),MatrixTexteT5,2,FALSE)</f>
        <v>Resultat</v>
      </c>
      <c r="G37" s="192" t="str">
        <f>VLOOKUP(ADDRESS(ROW(),COLUMN(),4),MatrixTexteT5,2,FALSE)</f>
        <v>Gesamtfläche</v>
      </c>
      <c r="H37" s="192" t="str">
        <f>VLOOKUP(ADDRESS(ROW(),COLUMN(),4),MatrixTexteT5,2,FALSE)</f>
        <v>Resultat</v>
      </c>
      <c r="L37" s="192" t="s">
        <v>1098</v>
      </c>
      <c r="M37" s="192" t="s">
        <v>1097</v>
      </c>
      <c r="N37" s="209"/>
      <c r="O37" s="209"/>
      <c r="P37" s="209"/>
      <c r="Q37" s="209"/>
      <c r="R37" s="209"/>
      <c r="S37" s="209"/>
      <c r="T37" s="209"/>
    </row>
    <row r="38" spans="1:20" ht="15.9" thickTop="1" thickBot="1" x14ac:dyDescent="0.4">
      <c r="A38" s="59"/>
      <c r="B38" s="85" t="str">
        <f>VLOOKUP(ADDRESS(ROW(),COLUMN(),4),MatrixTexteT5,2,FALSE)</f>
        <v>Qualität des Ausblicks (über alle Räume)</v>
      </c>
      <c r="C38" s="205">
        <f>K35</f>
        <v>0</v>
      </c>
      <c r="D38" s="202">
        <f>L35</f>
        <v>0</v>
      </c>
      <c r="E38" s="196"/>
      <c r="F38" s="200"/>
      <c r="G38" s="198">
        <f>C38+E38</f>
        <v>0</v>
      </c>
      <c r="H38" s="201" t="str">
        <f>M38</f>
        <v>ungenügend</v>
      </c>
      <c r="L38" s="41">
        <f>IFERROR(ROUND((L35*K35+F38*E38)/G38,0),0)</f>
        <v>0</v>
      </c>
      <c r="M38" s="41" t="str">
        <f>IF(L38="","",IF(L38=3,Texte!$B$214,IF(L38=2,Texte!$B$215,IF(L38=1,Texte!$B$216,Texte!$B$217))))</f>
        <v>ungenügend</v>
      </c>
      <c r="N38" s="209"/>
      <c r="O38" s="209"/>
      <c r="P38" s="209"/>
      <c r="Q38" s="209"/>
      <c r="R38" s="209"/>
      <c r="S38" s="209"/>
      <c r="T38" s="209"/>
    </row>
    <row r="39" spans="1:20" ht="15.9" thickTop="1" thickBot="1" x14ac:dyDescent="0.4">
      <c r="A39" s="59"/>
      <c r="B39" s="85" t="str">
        <f>IF(Bauvorhaben&lt;&gt;0,VLOOKUP(ADDRESS(ROW(),COLUMN(),4),MatrixTexteT5,2,FALSE)&amp;" (max. "&amp;TEXT(VLOOKUP(Bauvorhaben,MatrixBauvorhaben,2,FALSE),"0%")&amp;")",VLOOKUP(ADDRESS(ROW(),COLUMN(),4),MatrixTexteT5,2,FALSE))</f>
        <v>Anteil der Raumfläche mit ungenügendem Ergebnis</v>
      </c>
      <c r="C39" s="206" cm="1">
        <f t="array" ref="C39">SUMPRODUCT((L5:L34=0)*K5:K34)</f>
        <v>0</v>
      </c>
      <c r="D39" s="195">
        <f>IFERROR(SUMPRODUCT((L5:L34=0)*K5:K34)/K35,0)</f>
        <v>0</v>
      </c>
      <c r="E39" s="197"/>
      <c r="F39" s="194"/>
      <c r="G39" s="199">
        <f>C39+E39</f>
        <v>0</v>
      </c>
      <c r="H39" s="193">
        <f>IFERROR(G39/G38,0)</f>
        <v>0</v>
      </c>
      <c r="N39" s="209"/>
      <c r="O39" s="209"/>
      <c r="P39" s="209"/>
      <c r="Q39" s="209"/>
      <c r="R39" s="209"/>
      <c r="S39" s="209"/>
      <c r="T39" s="209"/>
    </row>
    <row r="40" spans="1:20" ht="25.5" customHeight="1" thickTop="1" thickBot="1" x14ac:dyDescent="0.4">
      <c r="A40" s="183"/>
      <c r="B40" s="184" t="str">
        <f>VLOOKUP(ADDRESS(ROW(),COLUMN(),4),MatrixTexteT5,2,FALSE)</f>
        <v>Die Anforderungen des Zusatzes ECO sind</v>
      </c>
      <c r="C40" s="184"/>
      <c r="D40" s="184"/>
      <c r="E40" s="184"/>
      <c r="F40" s="184"/>
      <c r="G40" s="288" t="str">
        <f>IFERROR(IF(AND(L35&gt;1,H39&lt;(VLOOKUP(Bauvorhaben,MatrixBauvorhaben,2,FALSE))),Texte!$B$219,IF(AND(L35&gt;0,H39&lt;(VLOOKUP(Bauvorhaben,MatrixBauvorhaben,2,FALSE))),Texte!$B$220,Texte!$B$221)),Texte!$B$221)</f>
        <v>nicht erfüllt</v>
      </c>
      <c r="H40" s="288"/>
      <c r="N40" s="209"/>
      <c r="O40" s="209"/>
      <c r="P40" s="209"/>
      <c r="Q40" s="209"/>
      <c r="R40" s="209"/>
      <c r="S40" s="209"/>
      <c r="T40" s="209"/>
    </row>
    <row r="41" spans="1:20" ht="15.45" thickTop="1" x14ac:dyDescent="0.35">
      <c r="A41" s="209"/>
      <c r="B41" s="209"/>
      <c r="C41" s="209"/>
      <c r="D41" s="209"/>
      <c r="E41" s="209"/>
      <c r="F41" s="209"/>
      <c r="G41" s="209"/>
      <c r="H41" s="209"/>
      <c r="N41" s="209"/>
      <c r="O41" s="209"/>
      <c r="P41" s="209"/>
      <c r="Q41" s="209"/>
      <c r="R41" s="209"/>
      <c r="S41" s="209"/>
      <c r="T41" s="209"/>
    </row>
    <row r="42" spans="1:20" x14ac:dyDescent="0.35">
      <c r="A42" s="209"/>
      <c r="B42" s="209"/>
      <c r="C42" s="209"/>
      <c r="D42" s="209"/>
      <c r="E42" s="209"/>
      <c r="F42" s="209"/>
      <c r="G42" s="209"/>
      <c r="H42" s="209"/>
      <c r="N42" s="209"/>
      <c r="O42" s="209"/>
      <c r="P42" s="209"/>
      <c r="Q42" s="209"/>
      <c r="R42" s="209"/>
      <c r="S42" s="209"/>
      <c r="T42" s="209"/>
    </row>
    <row r="43" spans="1:20" x14ac:dyDescent="0.35">
      <c r="A43" s="209"/>
      <c r="B43" s="209"/>
      <c r="C43" s="209"/>
      <c r="D43" s="209"/>
      <c r="E43" s="209"/>
      <c r="F43" s="209"/>
      <c r="G43" s="209"/>
      <c r="H43" s="209"/>
      <c r="N43" s="209"/>
      <c r="O43" s="209"/>
      <c r="P43" s="209"/>
      <c r="Q43" s="209"/>
      <c r="R43" s="209"/>
      <c r="S43" s="209"/>
      <c r="T43" s="209"/>
    </row>
    <row r="44" spans="1:20" x14ac:dyDescent="0.35">
      <c r="A44" s="209"/>
      <c r="B44" s="209"/>
      <c r="C44" s="209"/>
      <c r="D44" s="209"/>
      <c r="E44" s="209"/>
      <c r="F44" s="209"/>
      <c r="G44" s="209"/>
      <c r="H44" s="209"/>
      <c r="N44" s="209"/>
      <c r="O44" s="209"/>
      <c r="P44" s="209"/>
      <c r="Q44" s="209"/>
      <c r="R44" s="209"/>
      <c r="S44" s="209"/>
      <c r="T44" s="209"/>
    </row>
    <row r="45" spans="1:20" x14ac:dyDescent="0.35">
      <c r="A45" s="209"/>
      <c r="B45" s="209"/>
      <c r="C45" s="209"/>
      <c r="D45" s="209"/>
      <c r="E45" s="209"/>
      <c r="F45" s="209"/>
      <c r="G45" s="209"/>
      <c r="H45" s="209"/>
      <c r="N45" s="209"/>
      <c r="O45" s="209"/>
      <c r="P45" s="209"/>
      <c r="Q45" s="209"/>
      <c r="R45" s="209"/>
      <c r="S45" s="209"/>
      <c r="T45" s="209"/>
    </row>
    <row r="46" spans="1:20" x14ac:dyDescent="0.35">
      <c r="A46" s="209"/>
      <c r="B46" s="209"/>
      <c r="C46" s="209"/>
      <c r="D46" s="209"/>
      <c r="E46" s="209"/>
      <c r="F46" s="209"/>
      <c r="G46" s="209"/>
      <c r="H46" s="209"/>
      <c r="N46" s="209"/>
      <c r="O46" s="209"/>
      <c r="P46" s="209"/>
      <c r="Q46" s="209"/>
      <c r="R46" s="209"/>
      <c r="S46" s="209"/>
      <c r="T46" s="209"/>
    </row>
    <row r="47" spans="1:20" x14ac:dyDescent="0.35">
      <c r="A47" s="209"/>
      <c r="B47" s="209"/>
      <c r="C47" s="209"/>
      <c r="D47" s="209"/>
      <c r="E47" s="209"/>
      <c r="F47" s="209"/>
      <c r="G47" s="209"/>
      <c r="H47" s="209"/>
      <c r="N47" s="209"/>
      <c r="O47" s="209"/>
      <c r="P47" s="209"/>
      <c r="Q47" s="209"/>
      <c r="R47" s="209"/>
      <c r="S47" s="209"/>
      <c r="T47" s="209"/>
    </row>
    <row r="48" spans="1:20" x14ac:dyDescent="0.35">
      <c r="A48" s="209"/>
      <c r="B48" s="209"/>
      <c r="C48" s="209"/>
      <c r="D48" s="209"/>
      <c r="E48" s="209"/>
      <c r="F48" s="209"/>
      <c r="G48" s="209"/>
      <c r="H48" s="209"/>
      <c r="N48" s="209"/>
      <c r="O48" s="209"/>
      <c r="P48" s="209"/>
      <c r="Q48" s="209"/>
      <c r="R48" s="209"/>
      <c r="S48" s="209"/>
      <c r="T48" s="209"/>
    </row>
    <row r="49" spans="1:20" x14ac:dyDescent="0.35">
      <c r="A49" s="209"/>
      <c r="B49" s="209"/>
      <c r="C49" s="209"/>
      <c r="D49" s="209"/>
      <c r="E49" s="209"/>
      <c r="F49" s="209"/>
      <c r="G49" s="209"/>
      <c r="H49" s="209"/>
      <c r="N49" s="209"/>
      <c r="O49" s="209"/>
      <c r="P49" s="209"/>
      <c r="Q49" s="209"/>
      <c r="R49" s="209"/>
      <c r="S49" s="209"/>
      <c r="T49" s="209"/>
    </row>
    <row r="50" spans="1:20" x14ac:dyDescent="0.35">
      <c r="A50" s="209"/>
      <c r="B50" s="209"/>
      <c r="C50" s="209"/>
      <c r="D50" s="209"/>
      <c r="E50" s="209"/>
      <c r="F50" s="209"/>
      <c r="G50" s="209"/>
      <c r="H50" s="209"/>
      <c r="N50" s="209"/>
      <c r="O50" s="209"/>
      <c r="P50" s="209"/>
      <c r="Q50" s="209"/>
      <c r="R50" s="209"/>
      <c r="S50" s="209"/>
      <c r="T50" s="209"/>
    </row>
    <row r="51" spans="1:20" x14ac:dyDescent="0.35">
      <c r="A51" s="209"/>
      <c r="B51" s="209"/>
      <c r="C51" s="209"/>
      <c r="D51" s="209"/>
      <c r="E51" s="209"/>
      <c r="F51" s="209"/>
      <c r="G51" s="209"/>
      <c r="H51" s="209"/>
      <c r="N51" s="209"/>
      <c r="O51" s="209"/>
      <c r="P51" s="209"/>
      <c r="Q51" s="209"/>
      <c r="R51" s="209"/>
      <c r="S51" s="209"/>
      <c r="T51" s="209"/>
    </row>
    <row r="52" spans="1:20" x14ac:dyDescent="0.35">
      <c r="A52" s="209"/>
      <c r="B52" s="209"/>
      <c r="C52" s="209"/>
      <c r="D52" s="209"/>
      <c r="E52" s="209"/>
      <c r="F52" s="209"/>
      <c r="G52" s="209"/>
      <c r="H52" s="209"/>
      <c r="N52" s="209"/>
      <c r="O52" s="209"/>
      <c r="P52" s="209"/>
      <c r="Q52" s="209"/>
      <c r="R52" s="209"/>
      <c r="S52" s="209"/>
      <c r="T52" s="209"/>
    </row>
    <row r="53" spans="1:20" x14ac:dyDescent="0.35">
      <c r="A53" s="209"/>
      <c r="B53" s="209"/>
      <c r="C53" s="209"/>
      <c r="D53" s="209"/>
      <c r="E53" s="209"/>
      <c r="F53" s="209"/>
      <c r="G53" s="209"/>
      <c r="H53" s="209"/>
      <c r="N53" s="209"/>
      <c r="O53" s="209"/>
      <c r="P53" s="209"/>
      <c r="Q53" s="209"/>
      <c r="R53" s="209"/>
      <c r="S53" s="209"/>
      <c r="T53" s="209"/>
    </row>
    <row r="54" spans="1:20" x14ac:dyDescent="0.35">
      <c r="A54" s="209"/>
      <c r="B54" s="209"/>
      <c r="C54" s="209"/>
      <c r="D54" s="209"/>
      <c r="E54" s="209"/>
      <c r="F54" s="209"/>
      <c r="G54" s="209"/>
      <c r="H54" s="209"/>
      <c r="N54" s="209"/>
      <c r="O54" s="209"/>
      <c r="P54" s="209"/>
      <c r="Q54" s="209"/>
      <c r="R54" s="209"/>
      <c r="S54" s="209"/>
      <c r="T54" s="209"/>
    </row>
    <row r="55" spans="1:20" x14ac:dyDescent="0.35">
      <c r="A55" s="209"/>
      <c r="B55" s="209"/>
      <c r="C55" s="209"/>
      <c r="D55" s="209"/>
      <c r="E55" s="209"/>
      <c r="F55" s="209"/>
      <c r="G55" s="209"/>
      <c r="H55" s="209"/>
      <c r="N55" s="209"/>
      <c r="O55" s="209"/>
      <c r="P55" s="209"/>
      <c r="Q55" s="209"/>
      <c r="R55" s="209"/>
      <c r="S55" s="209"/>
      <c r="T55" s="209"/>
    </row>
    <row r="56" spans="1:20" x14ac:dyDescent="0.35">
      <c r="A56" s="209"/>
      <c r="B56" s="209"/>
      <c r="C56" s="209"/>
      <c r="D56" s="209"/>
      <c r="E56" s="209"/>
      <c r="F56" s="209"/>
      <c r="G56" s="209"/>
      <c r="H56" s="209"/>
      <c r="N56" s="209"/>
      <c r="O56" s="209"/>
      <c r="P56" s="209"/>
      <c r="Q56" s="209"/>
      <c r="R56" s="209"/>
      <c r="S56" s="209"/>
      <c r="T56" s="209"/>
    </row>
  </sheetData>
  <sheetProtection algorithmName="SHA-512" hashValue="f+9FLWNH1dy7CPfzyh2WaGjhszEOKYE9SoA2FB/JHs47sbqQXiwaBaDR4XIaJyMNgeOJpZI+NYeoeJH3F3+nHw==" saltValue="wA53sQNFSWSZA/UcjBUsNg==" spinCount="100000" sheet="1" objects="1" scenarios="1"/>
  <mergeCells count="36"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I3:M3"/>
    <mergeCell ref="E10:F10"/>
    <mergeCell ref="E11:F11"/>
    <mergeCell ref="E12:F12"/>
    <mergeCell ref="E13:F13"/>
    <mergeCell ref="C3:F3"/>
    <mergeCell ref="G3:H3"/>
  </mergeCells>
  <dataValidations count="3"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5:F34" xr:uid="{00000000-0002-0000-0300-000000000000}">
      <formula1>ListAussicht</formula1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5:C34" xr:uid="{00000000-0002-0000-0300-000001000000}">
      <formula1>0</formula1>
      <formula2>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5:D34" xr:uid="{00000000-0002-0000-0300-000002000000}">
      <formula1>0</formula1>
      <formula2>9999</formula2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ignoredErrors>
    <ignoredError sqref="B3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M89"/>
  <sheetViews>
    <sheetView showGridLines="0" zoomScaleNormal="100" workbookViewId="0">
      <selection activeCell="E5" sqref="E5"/>
    </sheetView>
  </sheetViews>
  <sheetFormatPr baseColWidth="10" defaultColWidth="11.5625" defaultRowHeight="15" x14ac:dyDescent="0.35"/>
  <cols>
    <col min="1" max="3" width="25.75" style="3" customWidth="1"/>
    <col min="4" max="4" width="15.5625" style="3" customWidth="1"/>
    <col min="5" max="5" width="20.25" style="3" customWidth="1"/>
    <col min="6" max="6" width="12.3125" style="3" customWidth="1"/>
    <col min="7" max="7" width="16.0625" style="3" customWidth="1"/>
    <col min="8" max="13" width="7.3125" style="3" customWidth="1"/>
    <col min="14" max="16384" width="11.5625" style="3"/>
  </cols>
  <sheetData>
    <row r="1" spans="1:13" ht="28.5" customHeight="1" x14ac:dyDescent="0.6">
      <c r="A1" s="114" t="str">
        <f>IF(Projektbez="","",Projektbez&amp;" – ")&amp;VLOOKUP(ADDRESS(ROW(),COLUMN(),4),MatrixTexteT4,2,FALSE)</f>
        <v>Fragenkatalog Erneuerung</v>
      </c>
      <c r="B1" s="115"/>
      <c r="C1" s="115"/>
      <c r="D1" s="115"/>
      <c r="E1" s="5"/>
      <c r="F1" s="5"/>
      <c r="G1" s="5"/>
      <c r="H1" s="5"/>
      <c r="I1" s="5"/>
      <c r="J1" s="5"/>
      <c r="K1" s="5"/>
      <c r="L1" s="5"/>
      <c r="M1" s="5"/>
    </row>
    <row r="2" spans="1:13" ht="9" customHeight="1" x14ac:dyDescent="0.35"/>
    <row r="3" spans="1:13" ht="18.75" customHeight="1" x14ac:dyDescent="0.4">
      <c r="A3" s="62" t="str">
        <f>VLOOKUP(ADDRESS(ROW(),COLUMN(),4),MatrixTexteT4,2,FALSE)</f>
        <v>Fragen</v>
      </c>
      <c r="B3" s="66"/>
      <c r="C3" s="66"/>
      <c r="D3" s="66"/>
      <c r="E3" s="62" t="str">
        <f>VLOOKUP(ADDRESS(ROW(),COLUMN(),4),MatrixTexteT4,2,FALSE)</f>
        <v>Antwort</v>
      </c>
      <c r="F3" s="7"/>
      <c r="G3" s="7"/>
      <c r="H3" s="7"/>
      <c r="I3" s="7"/>
      <c r="J3" s="7"/>
      <c r="K3" s="7"/>
    </row>
    <row r="4" spans="1:13" s="4" customFormat="1" ht="3.75" customHeight="1" x14ac:dyDescent="0.35">
      <c r="A4" s="35"/>
      <c r="B4" s="35"/>
      <c r="C4" s="35"/>
      <c r="D4" s="35"/>
      <c r="E4" s="35"/>
      <c r="F4" s="2"/>
    </row>
    <row r="5" spans="1:13" s="4" customFormat="1" ht="16.5" customHeight="1" x14ac:dyDescent="0.3">
      <c r="A5" s="84" t="str">
        <f>VLOOKUP(ADDRESS(ROW(),COLUMN(),4),MatrixTexteT4,2,FALSE)</f>
        <v>Werden die Fensteröffnungen grundsätzlich beibehalten oder vergrössert?</v>
      </c>
      <c r="B5" s="69"/>
      <c r="C5" s="69"/>
      <c r="D5" s="70"/>
      <c r="E5" s="71"/>
      <c r="F5" s="2"/>
    </row>
    <row r="6" spans="1:13" s="4" customFormat="1" ht="3.75" customHeight="1" x14ac:dyDescent="0.35">
      <c r="A6" s="36"/>
      <c r="B6" s="36"/>
      <c r="C6" s="36"/>
      <c r="D6" s="79"/>
      <c r="E6" s="80"/>
      <c r="F6" s="2"/>
    </row>
    <row r="7" spans="1:13" s="4" customFormat="1" ht="16.5" customHeight="1" x14ac:dyDescent="0.3">
      <c r="A7" s="84" t="str">
        <f>VLOOKUP(ADDRESS(ROW(),COLUMN(),4),MatrixTexteT4,2,FALSE)</f>
        <v>Werden die Glasflächen grundsätzlich beibehalten oder vergrössert?</v>
      </c>
      <c r="B7" s="69"/>
      <c r="C7" s="69"/>
      <c r="D7" s="70"/>
      <c r="E7" s="71"/>
      <c r="F7" s="2"/>
    </row>
    <row r="8" spans="1:13" s="4" customFormat="1" ht="3.75" customHeight="1" x14ac:dyDescent="0.35">
      <c r="A8" s="36"/>
      <c r="B8" s="36"/>
      <c r="C8" s="36"/>
      <c r="D8" s="79"/>
      <c r="E8" s="80"/>
      <c r="F8" s="2"/>
    </row>
    <row r="9" spans="1:13" s="4" customFormat="1" ht="16.5" customHeight="1" x14ac:dyDescent="0.3">
      <c r="A9" s="84" t="str">
        <f>VLOOKUP(ADDRESS(ROW(),COLUMN(),4),MatrixTexteT4,2,FALSE)</f>
        <v>Wurde bei der Wahl der Verglasung auf einen hohen Tageslicht-Transmissionsgrad (Tau ≥ 70%) geachtet?</v>
      </c>
      <c r="B9" s="69"/>
      <c r="C9" s="69"/>
      <c r="D9" s="70"/>
      <c r="E9" s="71"/>
      <c r="F9" s="2"/>
    </row>
    <row r="10" spans="1:13" s="4" customFormat="1" ht="3.75" customHeight="1" x14ac:dyDescent="0.35">
      <c r="A10" s="36"/>
      <c r="B10" s="36"/>
      <c r="C10" s="36"/>
      <c r="D10" s="79"/>
      <c r="E10" s="80"/>
      <c r="F10" s="2"/>
      <c r="H10" s="8"/>
      <c r="J10" s="8"/>
    </row>
    <row r="11" spans="1:13" s="4" customFormat="1" ht="16.5" customHeight="1" x14ac:dyDescent="0.3">
      <c r="A11" s="84" t="str">
        <f>VLOOKUP(ADDRESS(ROW(),COLUMN(),4),MatrixTexteT4,2,FALSE)</f>
        <v>Werden keine Elemente (z.B. Balkone, Vordächer) an die Fassade gebaut, welche den Tageslichteinfall verschlechtert?</v>
      </c>
      <c r="B11" s="69"/>
      <c r="C11" s="69"/>
      <c r="D11" s="70"/>
      <c r="E11" s="71"/>
      <c r="F11" s="2"/>
      <c r="H11" s="11"/>
      <c r="J11" s="9"/>
    </row>
    <row r="12" spans="1:13" s="4" customFormat="1" ht="3.75" customHeight="1" x14ac:dyDescent="0.3">
      <c r="A12" s="67"/>
      <c r="B12" s="67"/>
      <c r="C12" s="67"/>
      <c r="D12" s="68"/>
      <c r="E12" s="80"/>
      <c r="F12" s="2"/>
      <c r="H12" s="12"/>
      <c r="J12" s="10"/>
    </row>
    <row r="13" spans="1:13" s="4" customFormat="1" ht="16.5" customHeight="1" x14ac:dyDescent="0.3">
      <c r="A13" s="84" t="str">
        <f>VLOOKUP(ADDRESS(ROW(),COLUMN(),4),MatrixTexteT4,2,FALSE)</f>
        <v>Wurden die Räume grundsätzlich (mind. Decken und Wände) mit heller Farben gestrichen?</v>
      </c>
      <c r="B13" s="69"/>
      <c r="C13" s="69"/>
      <c r="D13" s="70"/>
      <c r="E13" s="71"/>
      <c r="F13" s="2"/>
      <c r="H13" s="16"/>
    </row>
    <row r="14" spans="1:13" s="4" customFormat="1" ht="3.75" customHeight="1" x14ac:dyDescent="0.3">
      <c r="A14" s="67"/>
      <c r="B14" s="67"/>
      <c r="C14" s="67"/>
      <c r="D14" s="68"/>
      <c r="E14" s="81"/>
      <c r="F14" s="2"/>
      <c r="H14" s="16"/>
    </row>
    <row r="15" spans="1:13" s="4" customFormat="1" ht="6" customHeight="1" x14ac:dyDescent="0.3">
      <c r="A15" s="67"/>
      <c r="B15" s="67"/>
      <c r="C15" s="67"/>
      <c r="D15" s="68"/>
      <c r="E15" s="68"/>
      <c r="F15" s="2"/>
      <c r="H15" s="16"/>
    </row>
    <row r="16" spans="1:13" s="4" customFormat="1" ht="3.75" customHeight="1" x14ac:dyDescent="0.35">
      <c r="A16" s="35"/>
      <c r="B16" s="35"/>
      <c r="C16" s="35"/>
      <c r="D16" s="35"/>
      <c r="E16" s="82"/>
      <c r="F16" s="2"/>
    </row>
    <row r="17" spans="1:6" s="4" customFormat="1" ht="18.75" customHeight="1" x14ac:dyDescent="0.4">
      <c r="A17" s="62" t="str">
        <f>VLOOKUP(ADDRESS(ROW(),COLUMN(),4),MatrixTexteT4,2,FALSE)</f>
        <v>Zusammenfassung</v>
      </c>
      <c r="B17" s="34"/>
      <c r="C17" s="34"/>
      <c r="D17" s="34"/>
      <c r="E17" s="34"/>
      <c r="F17" s="20"/>
    </row>
    <row r="18" spans="1:6" s="4" customFormat="1" ht="5.25" customHeight="1" x14ac:dyDescent="0.35">
      <c r="A18" s="35"/>
      <c r="B18" s="35"/>
      <c r="C18" s="35"/>
      <c r="D18" s="35"/>
      <c r="E18" s="82"/>
      <c r="F18" s="2"/>
    </row>
    <row r="19" spans="1:6" s="4" customFormat="1" ht="27.75" customHeight="1" x14ac:dyDescent="0.35">
      <c r="A19" s="308" t="str">
        <f>IF(Bauvorhaben="",Texte!$B$29,IF(Bauvorhaben=Neubau,Texte!$B$138,IF(AND(E5="",E7="",E9="",E11="",E13=""),Texte!$B$30,IF(AND(E5=Ja,E7=Ja,E9=Ja,E11=Ja,E13=Ja),Texte!$B$139,Texte!$B$140))))</f>
        <v>Erfassen Sie zuerst die Objektdaten im Blatt 'Überblick'.</v>
      </c>
      <c r="B19" s="308"/>
      <c r="C19" s="308"/>
      <c r="D19" s="308"/>
      <c r="E19" s="308"/>
      <c r="F19" s="13"/>
    </row>
    <row r="20" spans="1:6" s="4" customFormat="1" ht="10.5" customHeight="1" x14ac:dyDescent="0.35">
      <c r="A20" s="35"/>
      <c r="B20" s="35"/>
      <c r="C20" s="35"/>
      <c r="D20" s="35"/>
      <c r="E20" s="82"/>
      <c r="F20" s="2"/>
    </row>
    <row r="21" spans="1:6" s="4" customFormat="1" ht="18.75" customHeight="1" x14ac:dyDescent="0.4">
      <c r="A21" s="62" t="str">
        <f>VLOOKUP(ADDRESS(ROW(),COLUMN(),4),MatrixTexteT4,2,FALSE)</f>
        <v>Gebäudekategorie (Auswahl durch Anklicken der entsprechenden Schaltfläche)</v>
      </c>
      <c r="B21" s="34"/>
      <c r="C21" s="34"/>
      <c r="D21" s="34"/>
      <c r="E21" s="34"/>
      <c r="F21" s="20"/>
    </row>
    <row r="22" spans="1:6" s="4" customFormat="1" ht="9" customHeight="1" x14ac:dyDescent="0.4">
      <c r="A22" s="83"/>
      <c r="B22" s="83"/>
      <c r="C22" s="83"/>
      <c r="D22" s="83"/>
      <c r="E22" s="83"/>
      <c r="F22" s="20"/>
    </row>
    <row r="23" spans="1:6" s="4" customFormat="1" ht="23.25" customHeight="1" x14ac:dyDescent="0.4">
      <c r="A23" s="179" t="str">
        <f>VLOOKUP(ADDRESS(ROW(),COLUMN(),4),MatrixTexteT4,2,FALSE)</f>
        <v>Wohnen</v>
      </c>
      <c r="B23" s="180" t="str">
        <f>VLOOKUP(ADDRESS(ROW(),COLUMN(),4),MatrixTexteT4,2,FALSE)</f>
        <v>Verwaltung</v>
      </c>
      <c r="C23" s="180" t="str">
        <f>VLOOKUP(ADDRESS(ROW(),COLUMN(),4),MatrixTexteT4,2,FALSE)</f>
        <v>Schule</v>
      </c>
      <c r="D23" s="309"/>
      <c r="E23" s="310"/>
      <c r="F23" s="20"/>
    </row>
    <row r="24" spans="1:6" s="4" customFormat="1" ht="6" customHeight="1" x14ac:dyDescent="0.35">
      <c r="A24" s="76"/>
      <c r="B24" s="77"/>
      <c r="C24" s="77"/>
      <c r="D24" s="78"/>
      <c r="E24" s="168"/>
      <c r="F24" s="2"/>
    </row>
    <row r="25" spans="1:6" s="6" customFormat="1" ht="87" customHeight="1" x14ac:dyDescent="0.35">
      <c r="A25" s="72" t="b">
        <f>IF($F$25=8,TRUE,FALSE)</f>
        <v>1</v>
      </c>
      <c r="B25" s="73" t="b">
        <f>IF($F$25=9,TRUE,FALSE)</f>
        <v>0</v>
      </c>
      <c r="C25" s="73" t="b">
        <f>IF($F$25=1,TRUE,FALSE)</f>
        <v>0</v>
      </c>
      <c r="D25" s="306" t="str">
        <f>VLOOKUP(ADDRESS(ROW(),COLUMN(),4),MatrixTexteT4,2,FALSE)</f>
        <v>Gebäude mit einem eher kleinen Anteil Fenster- an Fassadenfläche</v>
      </c>
      <c r="E25" s="307"/>
      <c r="F25" s="25">
        <v>8</v>
      </c>
    </row>
    <row r="26" spans="1:6" s="6" customFormat="1" ht="6.75" customHeight="1" x14ac:dyDescent="0.35">
      <c r="A26" s="74"/>
      <c r="B26" s="75"/>
      <c r="C26" s="75"/>
      <c r="D26" s="181"/>
      <c r="E26" s="182"/>
      <c r="F26" s="22"/>
    </row>
    <row r="27" spans="1:6" s="6" customFormat="1" ht="87" customHeight="1" x14ac:dyDescent="0.35">
      <c r="A27" s="72" t="b">
        <f>IF($F$25=7,TRUE,FALSE)</f>
        <v>0</v>
      </c>
      <c r="B27" s="73" t="b">
        <f>IF($F$25=6,TRUE,FALSE)</f>
        <v>0</v>
      </c>
      <c r="C27" s="73" t="b">
        <f>IF($F$25=2,TRUE,FALSE)</f>
        <v>0</v>
      </c>
      <c r="D27" s="306" t="str">
        <f>VLOOKUP(ADDRESS(ROW(),COLUMN(),4),MatrixTexteT4,2,FALSE)</f>
        <v>Gebäude mit einem mittleren Anteil Fenster- an Fassadenfläche</v>
      </c>
      <c r="E27" s="307"/>
      <c r="F27" s="23"/>
    </row>
    <row r="28" spans="1:6" s="6" customFormat="1" ht="6.75" customHeight="1" x14ac:dyDescent="0.35">
      <c r="A28" s="74"/>
      <c r="B28" s="75"/>
      <c r="C28" s="75"/>
      <c r="D28" s="181"/>
      <c r="E28" s="182"/>
      <c r="F28" s="22"/>
    </row>
    <row r="29" spans="1:6" s="6" customFormat="1" ht="87" customHeight="1" x14ac:dyDescent="0.35">
      <c r="A29" s="72" t="b">
        <f>IF($F$25=5,TRUE,FALSE)</f>
        <v>0</v>
      </c>
      <c r="B29" s="73" t="b">
        <f>IF($F$25=4,TRUE,FALSE)</f>
        <v>0</v>
      </c>
      <c r="C29" s="73" t="b">
        <f>IF($F$25=3,TRUE,FALSE)</f>
        <v>0</v>
      </c>
      <c r="D29" s="306" t="str">
        <f>VLOOKUP(ADDRESS(ROW(),COLUMN(),4),MatrixTexteT4,2,FALSE)</f>
        <v>Gebäude mit einem grossen Anteil Fenster- an Fassadenfläche</v>
      </c>
      <c r="E29" s="307"/>
      <c r="F29" s="23"/>
    </row>
    <row r="30" spans="1:6" s="6" customFormat="1" ht="6" customHeight="1" x14ac:dyDescent="0.35">
      <c r="A30" s="35"/>
      <c r="B30" s="35"/>
      <c r="C30" s="35"/>
      <c r="D30" s="35"/>
      <c r="E30" s="82"/>
      <c r="F30" s="23"/>
    </row>
    <row r="31" spans="1:6" s="2" customFormat="1" x14ac:dyDescent="0.35">
      <c r="A31" s="35"/>
      <c r="B31" s="35"/>
      <c r="C31" s="35"/>
      <c r="D31" s="35"/>
      <c r="E31" s="35"/>
    </row>
    <row r="32" spans="1:6" s="1" customFormat="1" ht="12.45" x14ac:dyDescent="0.3"/>
    <row r="33" s="1" customFormat="1" ht="12.45" x14ac:dyDescent="0.3"/>
    <row r="34" s="1" customFormat="1" ht="12.45" x14ac:dyDescent="0.3"/>
    <row r="35" s="1" customFormat="1" ht="12.45" x14ac:dyDescent="0.3"/>
    <row r="36" s="1" customFormat="1" ht="12.45" x14ac:dyDescent="0.3"/>
    <row r="37" s="1" customFormat="1" ht="12.45" x14ac:dyDescent="0.3"/>
    <row r="38" s="1" customFormat="1" ht="12.45" x14ac:dyDescent="0.3"/>
    <row r="39" s="1" customFormat="1" ht="12.45" x14ac:dyDescent="0.3"/>
    <row r="40" s="1" customFormat="1" ht="12.45" x14ac:dyDescent="0.3"/>
    <row r="41" s="1" customFormat="1" ht="12.45" x14ac:dyDescent="0.3"/>
    <row r="42" s="1" customFormat="1" ht="12.45" x14ac:dyDescent="0.3"/>
    <row r="43" s="1" customFormat="1" ht="12.45" x14ac:dyDescent="0.3"/>
    <row r="44" s="1" customFormat="1" ht="12.45" x14ac:dyDescent="0.3"/>
    <row r="45" s="1" customFormat="1" ht="12.45" x14ac:dyDescent="0.3"/>
    <row r="46" s="1" customFormat="1" ht="12.45" x14ac:dyDescent="0.3"/>
    <row r="89" spans="1:4" x14ac:dyDescent="0.35">
      <c r="A89" s="15">
        <v>5</v>
      </c>
      <c r="B89" s="15"/>
      <c r="C89" s="15"/>
      <c r="D89" s="15"/>
    </row>
  </sheetData>
  <sheetProtection algorithmName="SHA-512" hashValue="L+ZPpLgeGZRLuwmYmSGGnCU6NMCFhrgEZxEl1fYDpbkHPgRN4CKKH5kh6rWBQMgZPiksSqVTBYcJmc4cK6ObQQ==" saltValue="pK/eTI4fOZsZxYKiBpJ4KQ==" spinCount="100000" sheet="1" objects="1" scenario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3">
    <cfRule type="expression" dxfId="6" priority="4" stopIfTrue="1">
      <formula>OR($A$25=TRUE,$A$27=TRUE,$A$29=TRUE)</formula>
    </cfRule>
  </conditionalFormatting>
  <conditionalFormatting sqref="A25:C29">
    <cfRule type="cellIs" dxfId="5" priority="2" stopIfTrue="1" operator="equal">
      <formula>TRUE</formula>
    </cfRule>
  </conditionalFormatting>
  <conditionalFormatting sqref="B23">
    <cfRule type="expression" dxfId="4" priority="3" stopIfTrue="1">
      <formula>OR($B$25=TRUE,$B$27=TRUE,$B$29=TRUE)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10886</xdr:colOff>
                    <xdr:row>24</xdr:row>
                    <xdr:rowOff>402771</xdr:rowOff>
                  </from>
                  <to>
                    <xdr:col>2</xdr:col>
                    <xdr:colOff>315686</xdr:colOff>
                    <xdr:row>24</xdr:row>
                    <xdr:rowOff>620486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32657</xdr:colOff>
                    <xdr:row>26</xdr:row>
                    <xdr:rowOff>419100</xdr:rowOff>
                  </from>
                  <to>
                    <xdr:col>2</xdr:col>
                    <xdr:colOff>337457</xdr:colOff>
                    <xdr:row>26</xdr:row>
                    <xdr:rowOff>642257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10886</xdr:colOff>
                    <xdr:row>28</xdr:row>
                    <xdr:rowOff>451757</xdr:rowOff>
                  </from>
                  <to>
                    <xdr:col>2</xdr:col>
                    <xdr:colOff>315686</xdr:colOff>
                    <xdr:row>28</xdr:row>
                    <xdr:rowOff>669471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10886</xdr:colOff>
                    <xdr:row>28</xdr:row>
                    <xdr:rowOff>429986</xdr:rowOff>
                  </from>
                  <to>
                    <xdr:col>1</xdr:col>
                    <xdr:colOff>315686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642257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10886</xdr:colOff>
                    <xdr:row>26</xdr:row>
                    <xdr:rowOff>429986</xdr:rowOff>
                  </from>
                  <to>
                    <xdr:col>1</xdr:col>
                    <xdr:colOff>315686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429986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440871</xdr:rowOff>
                  </from>
                  <to>
                    <xdr:col>0</xdr:col>
                    <xdr:colOff>304800</xdr:colOff>
                    <xdr:row>24</xdr:row>
                    <xdr:rowOff>658586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680357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G115"/>
  <sheetViews>
    <sheetView workbookViewId="0">
      <selection activeCell="B5" sqref="B5"/>
    </sheetView>
  </sheetViews>
  <sheetFormatPr baseColWidth="10" defaultColWidth="11.5625" defaultRowHeight="11.6" x14ac:dyDescent="0.3"/>
  <cols>
    <col min="1" max="1" width="17.75" style="19" customWidth="1"/>
    <col min="2" max="2" width="20.6875" style="19" customWidth="1"/>
    <col min="3" max="3" width="11.6875" style="19" customWidth="1"/>
    <col min="4" max="4" width="14.75" style="19" customWidth="1"/>
    <col min="5" max="5" width="17.0625" style="19" customWidth="1"/>
    <col min="6" max="6" width="12.4375" style="19" bestFit="1" customWidth="1"/>
    <col min="7" max="7" width="31.875" style="19" bestFit="1" customWidth="1"/>
    <col min="8" max="8" width="12.6875" style="19" customWidth="1"/>
    <col min="9" max="18" width="9.5625" style="19" customWidth="1"/>
    <col min="19" max="16384" width="11.5625" style="19"/>
  </cols>
  <sheetData>
    <row r="1" spans="1:7" ht="22.3" x14ac:dyDescent="0.5">
      <c r="A1" s="63" t="s">
        <v>160</v>
      </c>
      <c r="B1" s="64"/>
      <c r="C1" s="64"/>
      <c r="D1" s="64"/>
      <c r="E1" s="258" t="s">
        <v>1089</v>
      </c>
    </row>
    <row r="2" spans="1:7" ht="9" customHeight="1" x14ac:dyDescent="0.5">
      <c r="A2" s="63"/>
      <c r="B2" s="64"/>
      <c r="C2" s="64"/>
      <c r="D2" s="64"/>
      <c r="E2" s="64"/>
    </row>
    <row r="3" spans="1:7" ht="12.45" x14ac:dyDescent="0.3">
      <c r="A3" s="37" t="s">
        <v>40</v>
      </c>
      <c r="B3" s="37" t="s">
        <v>472</v>
      </c>
      <c r="C3" s="37" t="s">
        <v>473</v>
      </c>
      <c r="D3" s="37" t="s">
        <v>474</v>
      </c>
      <c r="E3" s="37" t="s">
        <v>475</v>
      </c>
    </row>
    <row r="5" spans="1:7" x14ac:dyDescent="0.3">
      <c r="A5" s="17" t="s">
        <v>687</v>
      </c>
      <c r="B5" s="65" t="s">
        <v>44</v>
      </c>
      <c r="G5" s="215"/>
    </row>
    <row r="6" spans="1:7" x14ac:dyDescent="0.3">
      <c r="A6" s="17"/>
    </row>
    <row r="7" spans="1:7" x14ac:dyDescent="0.3">
      <c r="A7" s="17" t="s">
        <v>686</v>
      </c>
      <c r="B7" s="226">
        <v>2023</v>
      </c>
    </row>
    <row r="8" spans="1:7" x14ac:dyDescent="0.3">
      <c r="A8" s="17"/>
    </row>
    <row r="9" spans="1:7" x14ac:dyDescent="0.3">
      <c r="A9" s="17" t="s">
        <v>207</v>
      </c>
      <c r="B9" s="227" t="str">
        <f>Texte!$B$243</f>
        <v>Ja</v>
      </c>
      <c r="D9" s="21"/>
    </row>
    <row r="10" spans="1:7" x14ac:dyDescent="0.3">
      <c r="A10" s="17"/>
      <c r="B10" s="227" t="str">
        <f>Texte!$B$244</f>
        <v>Nein</v>
      </c>
      <c r="D10" s="21"/>
    </row>
    <row r="11" spans="1:7" x14ac:dyDescent="0.3">
      <c r="A11" s="17"/>
      <c r="D11" s="21"/>
    </row>
    <row r="12" spans="1:7" x14ac:dyDescent="0.3">
      <c r="A12" s="17"/>
      <c r="D12" s="269" t="s">
        <v>1101</v>
      </c>
    </row>
    <row r="13" spans="1:7" x14ac:dyDescent="0.3">
      <c r="A13" s="17" t="s">
        <v>1014</v>
      </c>
      <c r="B13" s="19" t="str">
        <f>IF(OR(Fragenkatalog_Erneuerung!A25=TRUE,Fragenkatalog_Erneuerung!B25=TRUE,Fragenkatalog_Erneuerung!C25=TRUE),"Ja","Nein")</f>
        <v>Ja</v>
      </c>
      <c r="C13" s="21">
        <v>0.3</v>
      </c>
      <c r="D13" s="19">
        <f>IF(B13="Ja",C13,IF(B14="Ja",C14,C15))</f>
        <v>0.3</v>
      </c>
    </row>
    <row r="14" spans="1:7" x14ac:dyDescent="0.3">
      <c r="A14" s="17"/>
      <c r="B14" s="19" t="str">
        <f>IF(OR(Fragenkatalog_Erneuerung!A27=TRUE,Fragenkatalog_Erneuerung!B27=TRUE,Fragenkatalog_Erneuerung!C27=TRUE),"Ja","Nein")</f>
        <v>Nein</v>
      </c>
      <c r="C14" s="21">
        <v>0.4</v>
      </c>
      <c r="D14" s="21"/>
    </row>
    <row r="15" spans="1:7" x14ac:dyDescent="0.3">
      <c r="A15" s="17"/>
      <c r="B15" s="19" t="str">
        <f>IF(OR(Fragenkatalog_Erneuerung!A29=TRUE,Fragenkatalog_Erneuerung!B29=TRUE,Fragenkatalog_Erneuerung!C29=TRUE),"Ja","Nein")</f>
        <v>Nein</v>
      </c>
      <c r="C15" s="21">
        <v>0.5</v>
      </c>
      <c r="D15" s="21"/>
    </row>
    <row r="16" spans="1:7" x14ac:dyDescent="0.3">
      <c r="A16" s="17"/>
      <c r="D16" s="21"/>
    </row>
    <row r="17" spans="1:4" x14ac:dyDescent="0.3">
      <c r="A17" s="17"/>
      <c r="C17" s="263" t="s">
        <v>1090</v>
      </c>
      <c r="D17" s="21"/>
    </row>
    <row r="18" spans="1:4" x14ac:dyDescent="0.3">
      <c r="A18" s="260" t="s">
        <v>1033</v>
      </c>
      <c r="B18" s="261" t="str">
        <f>Texte!B223</f>
        <v>Neubau</v>
      </c>
      <c r="C18" s="262">
        <v>0.2</v>
      </c>
    </row>
    <row r="19" spans="1:4" x14ac:dyDescent="0.3">
      <c r="A19" s="261"/>
      <c r="B19" s="261" t="str">
        <f>Texte!B224</f>
        <v>Erneuerung</v>
      </c>
      <c r="C19" s="262">
        <v>0.35</v>
      </c>
    </row>
    <row r="21" spans="1:4" x14ac:dyDescent="0.3">
      <c r="C21" s="263" t="s">
        <v>1091</v>
      </c>
      <c r="D21" s="263" t="s">
        <v>1092</v>
      </c>
    </row>
    <row r="22" spans="1:4" x14ac:dyDescent="0.3">
      <c r="A22" s="260" t="s">
        <v>1037</v>
      </c>
      <c r="B22" s="261" t="str">
        <f>Texte!B226</f>
        <v>Wohnen MFH</v>
      </c>
      <c r="C22" s="262">
        <v>0.5</v>
      </c>
      <c r="D22" s="262">
        <v>0.7</v>
      </c>
    </row>
    <row r="23" spans="1:4" x14ac:dyDescent="0.3">
      <c r="A23" s="261"/>
      <c r="B23" s="261" t="str">
        <f>Texte!B227</f>
        <v>Wohnen EFH</v>
      </c>
      <c r="C23" s="262">
        <v>0.5</v>
      </c>
      <c r="D23" s="262">
        <v>0.7</v>
      </c>
    </row>
    <row r="24" spans="1:4" x14ac:dyDescent="0.3">
      <c r="A24" s="261"/>
      <c r="B24" s="261" t="str">
        <f>Texte!B228</f>
        <v>Verwaltung</v>
      </c>
      <c r="C24" s="262">
        <v>0.5</v>
      </c>
      <c r="D24" s="262">
        <v>0.7</v>
      </c>
    </row>
    <row r="25" spans="1:4" x14ac:dyDescent="0.3">
      <c r="A25" s="261"/>
      <c r="B25" s="261" t="str">
        <f>Texte!B229</f>
        <v>Schulen</v>
      </c>
      <c r="C25" s="262">
        <v>0.5</v>
      </c>
      <c r="D25" s="262">
        <v>0.7</v>
      </c>
    </row>
    <row r="26" spans="1:4" x14ac:dyDescent="0.3">
      <c r="A26" s="261"/>
      <c r="B26" s="261" t="str">
        <f>Texte!B230</f>
        <v>Schulen (Ausnahmeregelung)</v>
      </c>
      <c r="C26" s="262">
        <v>0.4</v>
      </c>
      <c r="D26" s="262">
        <v>0.7</v>
      </c>
    </row>
    <row r="27" spans="1:4" x14ac:dyDescent="0.3">
      <c r="A27" s="261"/>
      <c r="B27" s="261" t="str">
        <f>Texte!B231</f>
        <v>Verkauf</v>
      </c>
      <c r="C27" s="262">
        <v>0.5</v>
      </c>
      <c r="D27" s="262">
        <v>0.7</v>
      </c>
    </row>
    <row r="28" spans="1:4" x14ac:dyDescent="0.3">
      <c r="A28" s="261"/>
      <c r="B28" s="261" t="str">
        <f>Texte!B232</f>
        <v>Restaurants</v>
      </c>
      <c r="C28" s="262">
        <v>0.5</v>
      </c>
      <c r="D28" s="262">
        <v>0.7</v>
      </c>
    </row>
    <row r="29" spans="1:4" x14ac:dyDescent="0.3">
      <c r="A29" s="261"/>
      <c r="B29" s="261" t="str">
        <f>Texte!B233</f>
        <v>Versammlungslokale</v>
      </c>
      <c r="C29" s="262">
        <v>0.5</v>
      </c>
      <c r="D29" s="262">
        <v>0.7</v>
      </c>
    </row>
    <row r="30" spans="1:4" x14ac:dyDescent="0.3">
      <c r="A30" s="261"/>
      <c r="B30" s="261" t="str">
        <f>Texte!B234</f>
        <v>Spitäler</v>
      </c>
      <c r="C30" s="262">
        <v>0.5</v>
      </c>
      <c r="D30" s="262">
        <v>0.7</v>
      </c>
    </row>
    <row r="31" spans="1:4" x14ac:dyDescent="0.3">
      <c r="A31" s="261"/>
      <c r="B31" s="261" t="str">
        <f>Texte!B235</f>
        <v>Industrie</v>
      </c>
      <c r="C31" s="262">
        <v>0.5</v>
      </c>
      <c r="D31" s="262">
        <v>0.7</v>
      </c>
    </row>
    <row r="32" spans="1:4" x14ac:dyDescent="0.3">
      <c r="A32" s="261"/>
      <c r="B32" s="261" t="str">
        <f>Texte!B236</f>
        <v>Lager</v>
      </c>
      <c r="C32" s="262">
        <v>0.5</v>
      </c>
      <c r="D32" s="262">
        <v>0.7</v>
      </c>
    </row>
    <row r="33" spans="1:4" x14ac:dyDescent="0.3">
      <c r="A33" s="261"/>
      <c r="B33" s="261" t="str">
        <f>Texte!B237</f>
        <v>Sportbauten</v>
      </c>
      <c r="C33" s="262">
        <v>0.5</v>
      </c>
      <c r="D33" s="262">
        <v>0.7</v>
      </c>
    </row>
    <row r="34" spans="1:4" x14ac:dyDescent="0.3">
      <c r="A34" s="261"/>
      <c r="B34" s="261" t="str">
        <f>Texte!B238</f>
        <v>Hallenbäder</v>
      </c>
      <c r="C34" s="262">
        <v>0.5</v>
      </c>
      <c r="D34" s="262">
        <v>0.7</v>
      </c>
    </row>
    <row r="36" spans="1:4" x14ac:dyDescent="0.3">
      <c r="A36" s="17" t="s">
        <v>113</v>
      </c>
      <c r="B36" s="19" t="str">
        <f>Texte!B186</f>
        <v>Hell</v>
      </c>
      <c r="C36" s="19">
        <v>1</v>
      </c>
    </row>
    <row r="37" spans="1:4" x14ac:dyDescent="0.3">
      <c r="A37" s="17"/>
      <c r="B37" s="19" t="str">
        <f>Texte!B187</f>
        <v>Normal</v>
      </c>
      <c r="C37" s="19">
        <v>1.1000000000000001</v>
      </c>
    </row>
    <row r="38" spans="1:4" x14ac:dyDescent="0.3">
      <c r="A38" s="17"/>
      <c r="B38" s="19" t="str">
        <f>Texte!B188</f>
        <v>Dunkel</v>
      </c>
      <c r="C38" s="19">
        <v>1.5</v>
      </c>
    </row>
    <row r="39" spans="1:4" x14ac:dyDescent="0.3">
      <c r="A39" s="17"/>
    </row>
    <row r="40" spans="1:4" x14ac:dyDescent="0.3">
      <c r="A40" s="17" t="s">
        <v>70</v>
      </c>
      <c r="B40" s="19" t="str">
        <f>Texte!B195</f>
        <v>Kein Sonnenschutz</v>
      </c>
      <c r="C40" s="19">
        <v>1</v>
      </c>
    </row>
    <row r="41" spans="1:4" x14ac:dyDescent="0.3">
      <c r="A41" s="17"/>
      <c r="B41" s="19" t="str">
        <f>Texte!B190</f>
        <v>Helle Lamellen mit Umlenksystem</v>
      </c>
      <c r="C41" s="19">
        <v>1</v>
      </c>
    </row>
    <row r="42" spans="1:4" x14ac:dyDescent="0.3">
      <c r="A42" s="17"/>
      <c r="B42" s="19" t="str">
        <f>Texte!B191</f>
        <v>Helle Lamellen ohne Umlenksystem</v>
      </c>
      <c r="C42" s="19">
        <v>1.1000000000000001</v>
      </c>
    </row>
    <row r="43" spans="1:4" x14ac:dyDescent="0.3">
      <c r="A43" s="17"/>
      <c r="B43" s="19" t="str">
        <f>Texte!B192</f>
        <v>Mittelhelle Lamellen, lichtdurchlässiger Stoff</v>
      </c>
      <c r="C43" s="19">
        <v>1.2</v>
      </c>
    </row>
    <row r="44" spans="1:4" x14ac:dyDescent="0.3">
      <c r="A44" s="17"/>
      <c r="B44" s="19" t="str">
        <f>Texte!B193</f>
        <v>Dunkle Lamellen, wenig durchlässiger Stoff</v>
      </c>
      <c r="C44" s="19">
        <v>1.3</v>
      </c>
    </row>
    <row r="45" spans="1:4" x14ac:dyDescent="0.3">
      <c r="A45" s="17"/>
      <c r="B45" s="19" t="str">
        <f>Texte!B194</f>
        <v>Lichtundurchlässiger Behang</v>
      </c>
      <c r="C45" s="19">
        <v>1.4</v>
      </c>
    </row>
    <row r="46" spans="1:4" x14ac:dyDescent="0.3">
      <c r="A46" s="17"/>
    </row>
    <row r="47" spans="1:4" x14ac:dyDescent="0.3">
      <c r="A47" s="17" t="s">
        <v>104</v>
      </c>
      <c r="B47" s="19" t="str">
        <f>Texte!B201</f>
        <v>Kein Sonnenschutz</v>
      </c>
      <c r="C47" s="19">
        <v>1</v>
      </c>
    </row>
    <row r="48" spans="1:4" x14ac:dyDescent="0.3">
      <c r="A48" s="17"/>
      <c r="B48" s="19" t="str">
        <f>Texte!B196</f>
        <v>Motorbetrieben, automatisch, Lamellennachführung</v>
      </c>
      <c r="C48" s="19">
        <v>1</v>
      </c>
    </row>
    <row r="49" spans="1:3" x14ac:dyDescent="0.3">
      <c r="B49" s="19" t="str">
        <f>Texte!B197</f>
        <v>Motorbetrieben, automatisch, Berücks. Verschattung</v>
      </c>
      <c r="C49" s="19">
        <v>1.1000000000000001</v>
      </c>
    </row>
    <row r="50" spans="1:3" x14ac:dyDescent="0.3">
      <c r="B50" s="19" t="str">
        <f>Texte!B198</f>
        <v>Motorbetrieben, automatisch</v>
      </c>
      <c r="C50" s="19">
        <v>1.2</v>
      </c>
    </row>
    <row r="51" spans="1:3" x14ac:dyDescent="0.3">
      <c r="B51" s="19" t="str">
        <f>Texte!B199</f>
        <v>Motorbetrieben, manuell</v>
      </c>
      <c r="C51" s="19">
        <v>1.3</v>
      </c>
    </row>
    <row r="52" spans="1:3" x14ac:dyDescent="0.3">
      <c r="B52" s="19" t="str">
        <f>Texte!B200</f>
        <v>Manuell</v>
      </c>
      <c r="C52" s="19">
        <v>1.4</v>
      </c>
    </row>
    <row r="54" spans="1:3" x14ac:dyDescent="0.3">
      <c r="A54" s="17" t="s">
        <v>80</v>
      </c>
      <c r="B54" s="19" t="str">
        <f>Texte!B202</f>
        <v>Freie Sicht, keine oder geringe Verschattung durch Umgebung</v>
      </c>
      <c r="C54" s="19">
        <v>1</v>
      </c>
    </row>
    <row r="55" spans="1:3" x14ac:dyDescent="0.3">
      <c r="B55" s="19" t="str">
        <f>Texte!B203</f>
        <v>Mittlere Verschattung, Verbauungshöhenwinkel 15°-35°</v>
      </c>
      <c r="C55" s="19">
        <v>1.2</v>
      </c>
    </row>
    <row r="56" spans="1:3" x14ac:dyDescent="0.3">
      <c r="B56" s="19" t="str">
        <f>Texte!B204</f>
        <v>In der Stadt oder grosse Verschattung durch Umgebung</v>
      </c>
      <c r="C56" s="19">
        <v>1.4</v>
      </c>
    </row>
    <row r="58" spans="1:3" x14ac:dyDescent="0.3">
      <c r="A58" s="17" t="s">
        <v>792</v>
      </c>
      <c r="B58" s="19" t="str">
        <f>Texte!B206</f>
        <v>Nur Landschaft</v>
      </c>
      <c r="C58" s="19">
        <v>1</v>
      </c>
    </row>
    <row r="59" spans="1:3" x14ac:dyDescent="0.3">
      <c r="B59" s="19" t="str">
        <f>Texte!B207</f>
        <v>Landschaft und Boden</v>
      </c>
      <c r="C59" s="19">
        <v>2</v>
      </c>
    </row>
    <row r="60" spans="1:3" x14ac:dyDescent="0.3">
      <c r="B60" s="19" t="str">
        <f>Texte!B208</f>
        <v>Landschaft und Himmel</v>
      </c>
      <c r="C60" s="19">
        <v>2</v>
      </c>
    </row>
    <row r="61" spans="1:3" x14ac:dyDescent="0.3">
      <c r="B61" s="19" t="str">
        <f>Texte!B209</f>
        <v>Landschaft, Boden und Himmel</v>
      </c>
      <c r="C61" s="19">
        <v>3</v>
      </c>
    </row>
    <row r="62" spans="1:3" x14ac:dyDescent="0.3">
      <c r="B62" s="19" t="str">
        <f>Texte!B210</f>
        <v>Nur Boden</v>
      </c>
      <c r="C62" s="19">
        <v>0</v>
      </c>
    </row>
    <row r="63" spans="1:3" x14ac:dyDescent="0.3">
      <c r="B63" s="19" t="str">
        <f>Texte!B211</f>
        <v>Nur Himmel</v>
      </c>
      <c r="C63" s="19">
        <v>0</v>
      </c>
    </row>
    <row r="64" spans="1:3" x14ac:dyDescent="0.3">
      <c r="B64" s="19" t="str">
        <f>Texte!B212</f>
        <v>Boden und Himmel</v>
      </c>
      <c r="C64" s="19">
        <v>0</v>
      </c>
    </row>
    <row r="66" spans="1:5" x14ac:dyDescent="0.3">
      <c r="A66" s="17" t="s">
        <v>857</v>
      </c>
      <c r="B66" s="19" t="str">
        <f>Texte!B214</f>
        <v>hoch</v>
      </c>
    </row>
    <row r="67" spans="1:5" x14ac:dyDescent="0.3">
      <c r="B67" s="19" t="str">
        <f>Texte!B215</f>
        <v>mittel</v>
      </c>
    </row>
    <row r="68" spans="1:5" x14ac:dyDescent="0.3">
      <c r="B68" s="19" t="str">
        <f>Texte!B216</f>
        <v>minimal</v>
      </c>
    </row>
    <row r="69" spans="1:5" x14ac:dyDescent="0.3">
      <c r="B69" s="19" t="str">
        <f>Texte!B217</f>
        <v>ungenügend</v>
      </c>
    </row>
    <row r="71" spans="1:5" ht="13.3" x14ac:dyDescent="0.4">
      <c r="A71" s="17" t="s">
        <v>84</v>
      </c>
      <c r="B71" s="18" t="s">
        <v>85</v>
      </c>
      <c r="C71" s="18" t="s">
        <v>96</v>
      </c>
      <c r="D71" s="18" t="s">
        <v>97</v>
      </c>
      <c r="E71" s="18" t="s">
        <v>98</v>
      </c>
    </row>
    <row r="72" spans="1:5" ht="12.45" x14ac:dyDescent="0.3">
      <c r="B72" s="14" t="str">
        <f>Texte!B151</f>
        <v>Ausstellungshalle</v>
      </c>
      <c r="C72" s="19">
        <v>300</v>
      </c>
      <c r="D72" s="19">
        <v>2</v>
      </c>
      <c r="E72" s="19">
        <f t="shared" ref="E72:E105" si="0">ROUND(C72*D72,-1)</f>
        <v>600</v>
      </c>
    </row>
    <row r="73" spans="1:5" ht="12.45" x14ac:dyDescent="0.3">
      <c r="B73" s="14" t="str">
        <f>Texte!B152</f>
        <v>Behandlungsraum (Spital)</v>
      </c>
      <c r="C73" s="19">
        <v>500</v>
      </c>
      <c r="D73" s="19">
        <v>1.5</v>
      </c>
      <c r="E73" s="19">
        <f t="shared" si="0"/>
        <v>750</v>
      </c>
    </row>
    <row r="74" spans="1:5" ht="12.45" x14ac:dyDescent="0.3">
      <c r="B74" s="14" t="str">
        <f>Texte!B153</f>
        <v>Bettenzimmer (Spital)</v>
      </c>
      <c r="C74" s="19">
        <v>100</v>
      </c>
      <c r="D74" s="19">
        <v>3</v>
      </c>
      <c r="E74" s="19">
        <f t="shared" si="0"/>
        <v>300</v>
      </c>
    </row>
    <row r="75" spans="1:5" ht="12.45" x14ac:dyDescent="0.3">
      <c r="B75" s="14" t="str">
        <f>Texte!B154</f>
        <v>Bibliothek</v>
      </c>
      <c r="C75" s="19">
        <v>200</v>
      </c>
      <c r="D75" s="19">
        <v>1.5</v>
      </c>
      <c r="E75" s="19">
        <f t="shared" si="0"/>
        <v>300</v>
      </c>
    </row>
    <row r="76" spans="1:5" ht="12.45" x14ac:dyDescent="0.3">
      <c r="B76" s="14" t="str">
        <f>Texte!B155</f>
        <v>Einzel-, Gruppenbüro</v>
      </c>
      <c r="C76" s="19">
        <v>500</v>
      </c>
      <c r="D76" s="19">
        <v>1</v>
      </c>
      <c r="E76" s="19">
        <f t="shared" si="0"/>
        <v>500</v>
      </c>
    </row>
    <row r="77" spans="1:5" ht="12.45" x14ac:dyDescent="0.3">
      <c r="B77" s="14" t="str">
        <f>Texte!B156</f>
        <v>Fachgeschäft</v>
      </c>
      <c r="C77" s="19">
        <v>300</v>
      </c>
      <c r="D77" s="19">
        <v>2.5</v>
      </c>
      <c r="E77" s="19">
        <f t="shared" si="0"/>
        <v>750</v>
      </c>
    </row>
    <row r="78" spans="1:5" ht="12.45" x14ac:dyDescent="0.3">
      <c r="B78" s="14" t="str">
        <f>Texte!B157</f>
        <v>Fitnessraum</v>
      </c>
      <c r="C78" s="19">
        <v>300</v>
      </c>
      <c r="D78" s="19">
        <v>1</v>
      </c>
      <c r="E78" s="19">
        <f t="shared" si="0"/>
        <v>300</v>
      </c>
    </row>
    <row r="79" spans="1:5" ht="12.45" x14ac:dyDescent="0.3">
      <c r="B79" s="14" t="str">
        <f>Texte!B158</f>
        <v>Grossraumbüro</v>
      </c>
      <c r="C79" s="19">
        <v>500</v>
      </c>
      <c r="D79" s="19">
        <v>1</v>
      </c>
      <c r="E79" s="19">
        <f t="shared" si="0"/>
        <v>500</v>
      </c>
    </row>
    <row r="80" spans="1:5" ht="12.45" x14ac:dyDescent="0.3">
      <c r="B80" s="14" t="str">
        <f>Texte!B159</f>
        <v>Hörsaal</v>
      </c>
      <c r="C80" s="19">
        <v>500</v>
      </c>
      <c r="D80" s="19">
        <v>1</v>
      </c>
      <c r="E80" s="19">
        <f t="shared" si="0"/>
        <v>500</v>
      </c>
    </row>
    <row r="81" spans="2:5" ht="12.45" x14ac:dyDescent="0.3">
      <c r="B81" s="14" t="str">
        <f>Texte!B160</f>
        <v>Hotel-Empfang/Lobby</v>
      </c>
      <c r="C81" s="19">
        <v>100</v>
      </c>
      <c r="D81" s="19">
        <v>3</v>
      </c>
      <c r="E81" s="19">
        <f t="shared" si="0"/>
        <v>300</v>
      </c>
    </row>
    <row r="82" spans="2:5" ht="12.45" x14ac:dyDescent="0.3">
      <c r="B82" s="14" t="str">
        <f>Texte!B161</f>
        <v>Hotelzimmer</v>
      </c>
      <c r="C82" s="19">
        <v>50</v>
      </c>
      <c r="D82" s="19">
        <v>6</v>
      </c>
      <c r="E82" s="19">
        <f t="shared" si="0"/>
        <v>300</v>
      </c>
    </row>
    <row r="83" spans="2:5" ht="12.45" x14ac:dyDescent="0.3">
      <c r="B83" s="14" t="str">
        <f>Texte!B162</f>
        <v>Küche SB-Restaurant</v>
      </c>
      <c r="C83" s="19">
        <v>500</v>
      </c>
      <c r="D83" s="19">
        <v>1</v>
      </c>
      <c r="E83" s="19">
        <f t="shared" si="0"/>
        <v>500</v>
      </c>
    </row>
    <row r="84" spans="2:5" ht="12.45" x14ac:dyDescent="0.3">
      <c r="B84" s="14" t="str">
        <f>Texte!B163</f>
        <v>Küche zu Restaurant</v>
      </c>
      <c r="C84" s="19">
        <v>500</v>
      </c>
      <c r="D84" s="19">
        <v>1</v>
      </c>
      <c r="E84" s="19">
        <f t="shared" si="0"/>
        <v>500</v>
      </c>
    </row>
    <row r="85" spans="2:5" ht="12.45" x14ac:dyDescent="0.3">
      <c r="B85" s="14" t="str">
        <f>Texte!B164</f>
        <v>Küche, Teeküche</v>
      </c>
      <c r="C85" s="19">
        <v>200</v>
      </c>
      <c r="D85" s="19">
        <v>1</v>
      </c>
      <c r="E85" s="19">
        <f t="shared" si="0"/>
        <v>200</v>
      </c>
    </row>
    <row r="86" spans="2:5" ht="12.45" x14ac:dyDescent="0.3">
      <c r="B86" s="14" t="str">
        <f>Texte!B165</f>
        <v>Laborraum</v>
      </c>
      <c r="C86" s="19">
        <v>500</v>
      </c>
      <c r="D86" s="19">
        <v>1</v>
      </c>
      <c r="E86" s="19">
        <f t="shared" si="0"/>
        <v>500</v>
      </c>
    </row>
    <row r="87" spans="2:5" ht="12.45" x14ac:dyDescent="0.3">
      <c r="B87" s="14" t="str">
        <f>Texte!B166</f>
        <v>Lebensmittelverkauf</v>
      </c>
      <c r="C87" s="19">
        <v>300</v>
      </c>
      <c r="D87" s="19">
        <v>2.5</v>
      </c>
      <c r="E87" s="19">
        <f t="shared" si="0"/>
        <v>750</v>
      </c>
    </row>
    <row r="88" spans="2:5" ht="12.45" x14ac:dyDescent="0.3">
      <c r="B88" s="14" t="str">
        <f>Texte!B167</f>
        <v>Lehrerzimmer</v>
      </c>
      <c r="C88" s="19">
        <v>300</v>
      </c>
      <c r="D88" s="19">
        <v>1</v>
      </c>
      <c r="E88" s="19">
        <f t="shared" si="0"/>
        <v>300</v>
      </c>
    </row>
    <row r="89" spans="2:5" ht="12.45" x14ac:dyDescent="0.3">
      <c r="B89" s="14" t="str">
        <f>Texte!B168</f>
        <v>Mehrzweckhalle</v>
      </c>
      <c r="C89" s="19">
        <v>300</v>
      </c>
      <c r="D89" s="19">
        <v>1</v>
      </c>
      <c r="E89" s="19">
        <f t="shared" si="0"/>
        <v>300</v>
      </c>
    </row>
    <row r="90" spans="2:5" ht="12.45" x14ac:dyDescent="0.3">
      <c r="B90" s="14" t="str">
        <f>Texte!B169</f>
        <v>Produktion (feine Arbeit)</v>
      </c>
      <c r="C90" s="19">
        <v>500</v>
      </c>
      <c r="D90" s="19">
        <v>1</v>
      </c>
      <c r="E90" s="19">
        <f t="shared" si="0"/>
        <v>500</v>
      </c>
    </row>
    <row r="91" spans="2:5" ht="12.45" x14ac:dyDescent="0.3">
      <c r="B91" s="14" t="str">
        <f>Texte!B170</f>
        <v>Produktion (grobe Arbeit)</v>
      </c>
      <c r="C91" s="19">
        <v>300</v>
      </c>
      <c r="D91" s="19">
        <v>1</v>
      </c>
      <c r="E91" s="19">
        <f t="shared" si="0"/>
        <v>300</v>
      </c>
    </row>
    <row r="92" spans="2:5" ht="12.45" x14ac:dyDescent="0.3">
      <c r="B92" s="14" t="str">
        <f>Texte!B171</f>
        <v>Restaurant</v>
      </c>
      <c r="C92" s="19">
        <v>200</v>
      </c>
      <c r="D92" s="19">
        <v>1.5</v>
      </c>
      <c r="E92" s="19">
        <f t="shared" si="0"/>
        <v>300</v>
      </c>
    </row>
    <row r="93" spans="2:5" ht="12.45" x14ac:dyDescent="0.3">
      <c r="B93" s="14" t="str">
        <f>Texte!B172</f>
        <v>Schalterhalle, Empfang</v>
      </c>
      <c r="C93" s="19">
        <v>200</v>
      </c>
      <c r="D93" s="19">
        <v>1.5</v>
      </c>
      <c r="E93" s="19">
        <f t="shared" si="0"/>
        <v>300</v>
      </c>
    </row>
    <row r="94" spans="2:5" ht="12.45" x14ac:dyDescent="0.3">
      <c r="B94" s="14" t="str">
        <f>Texte!B173</f>
        <v>Schulfachraum</v>
      </c>
      <c r="C94" s="19">
        <v>500</v>
      </c>
      <c r="D94" s="19">
        <v>1</v>
      </c>
      <c r="E94" s="19">
        <f t="shared" si="0"/>
        <v>500</v>
      </c>
    </row>
    <row r="95" spans="2:5" ht="12.45" x14ac:dyDescent="0.3">
      <c r="B95" s="14" t="str">
        <f>Texte!B174</f>
        <v>Schulzimmer</v>
      </c>
      <c r="C95" s="19">
        <v>500</v>
      </c>
      <c r="D95" s="19">
        <v>1</v>
      </c>
      <c r="E95" s="19">
        <f t="shared" si="0"/>
        <v>500</v>
      </c>
    </row>
    <row r="96" spans="2:5" ht="12.45" x14ac:dyDescent="0.3">
      <c r="B96" s="14" t="str">
        <f>Texte!B175</f>
        <v>Schwimmhalle (oberirdisch)</v>
      </c>
      <c r="C96" s="19">
        <v>300</v>
      </c>
      <c r="D96" s="19">
        <v>1</v>
      </c>
      <c r="E96" s="19">
        <f t="shared" si="0"/>
        <v>300</v>
      </c>
    </row>
    <row r="97" spans="1:5" ht="12.45" x14ac:dyDescent="0.3">
      <c r="B97" s="14" t="str">
        <f>Texte!B176</f>
        <v>Schwimmhalle (unterirdisch)</v>
      </c>
      <c r="C97" s="19">
        <v>100</v>
      </c>
      <c r="D97" s="19">
        <v>1</v>
      </c>
      <c r="E97" s="19">
        <v>100</v>
      </c>
    </row>
    <row r="98" spans="1:5" ht="12.45" x14ac:dyDescent="0.3">
      <c r="B98" s="14" t="str">
        <f>Texte!B177</f>
        <v>Selbstbedienungsrestaurant</v>
      </c>
      <c r="C98" s="19">
        <v>200</v>
      </c>
      <c r="D98" s="19">
        <v>1.5</v>
      </c>
      <c r="E98" s="19">
        <f t="shared" si="0"/>
        <v>300</v>
      </c>
    </row>
    <row r="99" spans="1:5" ht="12.45" x14ac:dyDescent="0.3">
      <c r="B99" s="14" t="str">
        <f>Texte!B178</f>
        <v>Sitzungszimmer</v>
      </c>
      <c r="C99" s="19">
        <v>500</v>
      </c>
      <c r="D99" s="19">
        <v>1</v>
      </c>
      <c r="E99" s="19">
        <f t="shared" si="0"/>
        <v>500</v>
      </c>
    </row>
    <row r="100" spans="1:5" ht="12.45" x14ac:dyDescent="0.3">
      <c r="B100" s="14" t="str">
        <f>Texte!B179</f>
        <v xml:space="preserve">Stationszimmer </v>
      </c>
      <c r="C100" s="19">
        <v>300</v>
      </c>
      <c r="D100" s="19">
        <v>1.667</v>
      </c>
      <c r="E100" s="19">
        <f t="shared" si="0"/>
        <v>500</v>
      </c>
    </row>
    <row r="101" spans="1:5" ht="12.45" x14ac:dyDescent="0.3">
      <c r="B101" s="14" t="str">
        <f>Texte!B180</f>
        <v>Turnhalle (oberirdisch)</v>
      </c>
      <c r="C101" s="19">
        <v>300</v>
      </c>
      <c r="D101" s="19">
        <v>1.667</v>
      </c>
      <c r="E101" s="19">
        <f t="shared" si="0"/>
        <v>500</v>
      </c>
    </row>
    <row r="102" spans="1:5" ht="12.45" x14ac:dyDescent="0.3">
      <c r="B102" s="14" t="str">
        <f>Texte!B181</f>
        <v>Turnhalle (unterirdisch)</v>
      </c>
      <c r="C102" s="19">
        <v>100</v>
      </c>
      <c r="D102" s="19">
        <v>1.667</v>
      </c>
      <c r="E102" s="19">
        <v>170</v>
      </c>
    </row>
    <row r="103" spans="1:5" ht="12.45" x14ac:dyDescent="0.3">
      <c r="B103" s="14" t="str">
        <f>Texte!B182</f>
        <v>Verkauf Möbel, Bau, Garten</v>
      </c>
      <c r="C103" s="19">
        <v>300</v>
      </c>
      <c r="D103" s="19">
        <v>2</v>
      </c>
      <c r="E103" s="19">
        <f t="shared" si="0"/>
        <v>600</v>
      </c>
    </row>
    <row r="104" spans="1:5" ht="12.45" x14ac:dyDescent="0.3">
      <c r="B104" s="14" t="str">
        <f>Texte!B183</f>
        <v>Vorstellungsraum</v>
      </c>
      <c r="C104" s="19">
        <v>300</v>
      </c>
      <c r="D104" s="19">
        <v>1</v>
      </c>
      <c r="E104" s="19">
        <f t="shared" si="0"/>
        <v>300</v>
      </c>
    </row>
    <row r="105" spans="1:5" ht="12.45" x14ac:dyDescent="0.3">
      <c r="B105" s="14" t="str">
        <f>Texte!B184</f>
        <v>Wohn-, Schlafzimmer</v>
      </c>
      <c r="C105" s="19">
        <v>50</v>
      </c>
      <c r="D105" s="19">
        <v>2</v>
      </c>
      <c r="E105" s="19">
        <f t="shared" si="0"/>
        <v>100</v>
      </c>
    </row>
    <row r="107" spans="1:5" x14ac:dyDescent="0.3">
      <c r="A107" s="265" t="s">
        <v>127</v>
      </c>
      <c r="B107" s="268" t="s">
        <v>128</v>
      </c>
      <c r="C107" s="268">
        <v>0.7</v>
      </c>
      <c r="D107" s="268">
        <v>100</v>
      </c>
      <c r="E107" s="268" t="str">
        <f>Texte!$B$219</f>
        <v>gut erfüllt</v>
      </c>
    </row>
    <row r="108" spans="1:5" x14ac:dyDescent="0.3">
      <c r="A108" s="265"/>
      <c r="B108" s="268" t="s">
        <v>129</v>
      </c>
      <c r="C108" s="268">
        <v>0.5</v>
      </c>
      <c r="D108" s="268">
        <f>Gut</f>
        <v>0.7</v>
      </c>
      <c r="E108" s="268" t="str">
        <f>Texte!$B$220</f>
        <v>erfüllt</v>
      </c>
    </row>
    <row r="109" spans="1:5" x14ac:dyDescent="0.3">
      <c r="A109" s="265"/>
      <c r="B109" s="268" t="s">
        <v>130</v>
      </c>
      <c r="C109" s="268">
        <v>0</v>
      </c>
      <c r="D109" s="268">
        <f>Befriedigend</f>
        <v>0.5</v>
      </c>
      <c r="E109" s="268" t="str">
        <f>Texte!$B$221</f>
        <v>nicht erfüllt</v>
      </c>
    </row>
    <row r="110" spans="1:5" x14ac:dyDescent="0.3">
      <c r="A110" s="17"/>
    </row>
    <row r="111" spans="1:5" x14ac:dyDescent="0.3">
      <c r="A111" s="265" t="s">
        <v>132</v>
      </c>
      <c r="B111" s="266">
        <f>IF(OR(Nutzung="Schulen (Ausnahmeregelung)",Nutzung="Écoles (dérogation)",Nutzung="Scuole (esenzione)",Nutzung="Schools (exemption)"),0.4,0.5)</f>
        <v>0.5</v>
      </c>
    </row>
    <row r="112" spans="1:5" x14ac:dyDescent="0.3">
      <c r="A112" s="17"/>
    </row>
    <row r="113" spans="1:2" x14ac:dyDescent="0.3">
      <c r="A113" s="265" t="s">
        <v>133</v>
      </c>
      <c r="B113" s="267">
        <f>IF(OR(Bauvorhaben="Erneuerung",Bauvorhaben="Rénovation",Bauvorhaben="Ammodernamento",Bauvorhaben="Renovation"),0.35,0.2)</f>
        <v>0.2</v>
      </c>
    </row>
    <row r="114" spans="1:2" x14ac:dyDescent="0.3">
      <c r="A114" s="17"/>
    </row>
    <row r="115" spans="1:2" x14ac:dyDescent="0.3">
      <c r="A115" s="17" t="s">
        <v>134</v>
      </c>
      <c r="B115" s="228" t="str">
        <f>"V"&amp;VersionNr</f>
        <v>V2023.2</v>
      </c>
    </row>
  </sheetData>
  <sheetProtection algorithmName="SHA-512" hashValue="dlM/CNGRMYcCNywF57oq/ViItzKhP6Up1vi1m2e6H+LRQu1E67dsXA7SnBTMbWQwkGk0NKvkK/CxrDYBK4NZWw==" saltValue="tj2WllJAMQhBVQtgt5ygtQ==" spinCount="100000" sheet="1" objects="1" scenario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3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136071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G378"/>
  <sheetViews>
    <sheetView zoomScaleNormal="100" workbookViewId="0"/>
  </sheetViews>
  <sheetFormatPr baseColWidth="10" defaultColWidth="11.5625" defaultRowHeight="12.45" x14ac:dyDescent="0.3"/>
  <cols>
    <col min="1" max="1" width="11.4375" style="26" customWidth="1"/>
    <col min="2" max="6" width="21.75" style="26" customWidth="1"/>
    <col min="7" max="16384" width="11.5625" style="26"/>
  </cols>
  <sheetData>
    <row r="1" spans="1:6" ht="22.3" x14ac:dyDescent="0.5">
      <c r="A1" s="63" t="s">
        <v>161</v>
      </c>
    </row>
    <row r="2" spans="1:6" ht="9" customHeight="1" x14ac:dyDescent="0.3"/>
    <row r="3" spans="1:6" x14ac:dyDescent="0.3">
      <c r="A3" s="37" t="s">
        <v>173</v>
      </c>
      <c r="B3" s="37"/>
      <c r="C3" s="37"/>
      <c r="D3" s="37"/>
      <c r="E3" s="37"/>
      <c r="F3" s="37"/>
    </row>
    <row r="4" spans="1:6" x14ac:dyDescent="0.3">
      <c r="A4" s="37" t="s">
        <v>162</v>
      </c>
      <c r="B4" s="37" t="s">
        <v>163</v>
      </c>
      <c r="C4" s="37" t="s">
        <v>44</v>
      </c>
      <c r="D4" s="37" t="s">
        <v>172</v>
      </c>
      <c r="E4" s="37" t="s">
        <v>45</v>
      </c>
      <c r="F4" s="37" t="s">
        <v>46</v>
      </c>
    </row>
    <row r="5" spans="1:6" x14ac:dyDescent="0.3">
      <c r="A5" s="26" t="s">
        <v>165</v>
      </c>
      <c r="B5" s="26" t="str">
        <f t="shared" ref="B5:B39" si="0">INDEX($C5:$F5,1,MATCH(Sprachwahl,ListSprache,0))</f>
        <v>Tageslicht-Tool ECO</v>
      </c>
      <c r="C5" s="26" t="s">
        <v>932</v>
      </c>
      <c r="D5" s="26" t="s">
        <v>933</v>
      </c>
      <c r="E5" s="26" t="s">
        <v>934</v>
      </c>
      <c r="F5" s="26" t="s">
        <v>935</v>
      </c>
    </row>
    <row r="6" spans="1:6" x14ac:dyDescent="0.3">
      <c r="A6" s="26" t="s">
        <v>900</v>
      </c>
      <c r="B6" s="26" t="str">
        <f t="shared" si="0"/>
        <v>Zu verwenden bis 31.12.2026</v>
      </c>
      <c r="C6" s="26" t="s">
        <v>999</v>
      </c>
      <c r="D6" s="26" t="s">
        <v>1000</v>
      </c>
      <c r="E6" s="217" t="s">
        <v>1032</v>
      </c>
      <c r="F6" s="26" t="s">
        <v>1001</v>
      </c>
    </row>
    <row r="7" spans="1:6" x14ac:dyDescent="0.3">
      <c r="A7" s="26" t="s">
        <v>164</v>
      </c>
      <c r="B7" s="26" t="str">
        <f t="shared" si="0"/>
        <v>Objektdaten</v>
      </c>
      <c r="C7" s="26" t="s">
        <v>39</v>
      </c>
      <c r="D7" s="26" t="s">
        <v>213</v>
      </c>
      <c r="E7" s="26" t="s">
        <v>299</v>
      </c>
      <c r="F7" s="26" t="s">
        <v>319</v>
      </c>
    </row>
    <row r="8" spans="1:6" x14ac:dyDescent="0.3">
      <c r="A8" s="26" t="s">
        <v>166</v>
      </c>
      <c r="B8" s="26" t="str">
        <f t="shared" si="0"/>
        <v>Projektbezeichnung</v>
      </c>
      <c r="C8" s="26" t="s">
        <v>47</v>
      </c>
      <c r="D8" s="26" t="s">
        <v>214</v>
      </c>
      <c r="E8" s="26" t="s">
        <v>300</v>
      </c>
      <c r="F8" s="26" t="s">
        <v>320</v>
      </c>
    </row>
    <row r="9" spans="1:6" x14ac:dyDescent="0.3">
      <c r="A9" s="26" t="s">
        <v>167</v>
      </c>
      <c r="B9" s="26" t="str">
        <f t="shared" si="0"/>
        <v>Bauvorhaben</v>
      </c>
      <c r="C9" s="259" t="s">
        <v>1033</v>
      </c>
      <c r="D9" s="259" t="s">
        <v>1035</v>
      </c>
      <c r="E9" s="259" t="s">
        <v>1034</v>
      </c>
      <c r="F9" s="259" t="s">
        <v>1036</v>
      </c>
    </row>
    <row r="10" spans="1:6" x14ac:dyDescent="0.3">
      <c r="A10" s="26" t="s">
        <v>168</v>
      </c>
      <c r="B10" s="26" t="str">
        <f t="shared" si="0"/>
        <v>Nutzung</v>
      </c>
      <c r="C10" s="259" t="s">
        <v>1037</v>
      </c>
      <c r="D10" s="259" t="s">
        <v>1038</v>
      </c>
      <c r="E10" s="259" t="s">
        <v>1039</v>
      </c>
      <c r="F10" s="259" t="s">
        <v>1040</v>
      </c>
    </row>
    <row r="11" spans="1:6" x14ac:dyDescent="0.3">
      <c r="A11" s="26" t="s">
        <v>1130</v>
      </c>
      <c r="B11" s="26" t="str">
        <f t="shared" si="0"/>
        <v>Wählen Sie die Nutzung mit dem grössten Flächenanteil.</v>
      </c>
      <c r="C11" s="259" t="s">
        <v>1131</v>
      </c>
      <c r="D11" s="259" t="s">
        <v>1133</v>
      </c>
      <c r="E11" s="259" t="s">
        <v>1134</v>
      </c>
      <c r="F11" s="259" t="s">
        <v>1132</v>
      </c>
    </row>
    <row r="12" spans="1:6" x14ac:dyDescent="0.3">
      <c r="A12" s="26" t="s">
        <v>1116</v>
      </c>
      <c r="B12" s="26" t="str">
        <f t="shared" si="0"/>
        <v>Bauherr</v>
      </c>
      <c r="C12" s="26" t="s">
        <v>23</v>
      </c>
      <c r="D12" s="26" t="s">
        <v>215</v>
      </c>
      <c r="E12" s="26" t="s">
        <v>321</v>
      </c>
      <c r="F12" s="217" t="s">
        <v>1007</v>
      </c>
    </row>
    <row r="13" spans="1:6" x14ac:dyDescent="0.3">
      <c r="A13" s="26" t="s">
        <v>169</v>
      </c>
      <c r="B13" s="26" t="str">
        <f t="shared" si="0"/>
        <v>Architekt</v>
      </c>
      <c r="C13" s="26" t="s">
        <v>3</v>
      </c>
      <c r="D13" s="26" t="s">
        <v>216</v>
      </c>
      <c r="E13" s="26" t="s">
        <v>301</v>
      </c>
      <c r="F13" s="26" t="s">
        <v>322</v>
      </c>
    </row>
    <row r="14" spans="1:6" x14ac:dyDescent="0.3">
      <c r="A14" s="26" t="s">
        <v>1119</v>
      </c>
      <c r="B14" s="26" t="str">
        <f t="shared" si="0"/>
        <v>Elektroplanung</v>
      </c>
      <c r="C14" s="26" t="s">
        <v>4</v>
      </c>
      <c r="D14" s="26" t="s">
        <v>217</v>
      </c>
      <c r="E14" s="26" t="s">
        <v>302</v>
      </c>
      <c r="F14" s="26" t="s">
        <v>323</v>
      </c>
    </row>
    <row r="15" spans="1:6" x14ac:dyDescent="0.3">
      <c r="A15" s="26" t="s">
        <v>170</v>
      </c>
      <c r="B15" s="26" t="str">
        <f t="shared" si="0"/>
        <v>Beleuchtungsplanung</v>
      </c>
      <c r="C15" s="26" t="s">
        <v>6</v>
      </c>
      <c r="D15" s="26" t="s">
        <v>218</v>
      </c>
      <c r="E15" s="26" t="s">
        <v>303</v>
      </c>
      <c r="F15" s="26" t="s">
        <v>324</v>
      </c>
    </row>
    <row r="16" spans="1:6" x14ac:dyDescent="0.3">
      <c r="A16" s="26" t="s">
        <v>1117</v>
      </c>
      <c r="B16" s="26" t="str">
        <f t="shared" si="0"/>
        <v>Ersteller Nachweis</v>
      </c>
      <c r="C16" s="26" t="s">
        <v>5</v>
      </c>
      <c r="D16" s="217" t="s">
        <v>936</v>
      </c>
      <c r="E16" s="26" t="s">
        <v>304</v>
      </c>
      <c r="F16" s="26" t="s">
        <v>470</v>
      </c>
    </row>
    <row r="17" spans="1:6" x14ac:dyDescent="0.3">
      <c r="A17" s="26" t="s">
        <v>1118</v>
      </c>
      <c r="B17" s="26" t="str">
        <f t="shared" si="0"/>
        <v>Datum</v>
      </c>
      <c r="C17" s="26" t="s">
        <v>2</v>
      </c>
      <c r="D17" s="26" t="s">
        <v>219</v>
      </c>
      <c r="E17" s="26" t="s">
        <v>305</v>
      </c>
      <c r="F17" s="26" t="s">
        <v>219</v>
      </c>
    </row>
    <row r="18" spans="1:6" x14ac:dyDescent="0.3">
      <c r="A18" s="26" t="s">
        <v>1120</v>
      </c>
      <c r="B18" s="26" t="str">
        <f t="shared" si="0"/>
        <v>Zusammenfassung der Ergebnisse Tageslicht</v>
      </c>
      <c r="C18" s="26" t="s">
        <v>880</v>
      </c>
      <c r="D18" s="217" t="s">
        <v>937</v>
      </c>
      <c r="E18" s="26" t="s">
        <v>881</v>
      </c>
      <c r="F18" s="26" t="s">
        <v>882</v>
      </c>
    </row>
    <row r="19" spans="1:6" x14ac:dyDescent="0.3">
      <c r="A19" s="26" t="s">
        <v>1041</v>
      </c>
      <c r="B19" s="26" t="str">
        <f t="shared" si="0"/>
        <v>Erfasste Raumfläche total</v>
      </c>
      <c r="C19" s="26" t="s">
        <v>135</v>
      </c>
      <c r="D19" s="217" t="s">
        <v>938</v>
      </c>
      <c r="E19" s="26" t="s">
        <v>307</v>
      </c>
      <c r="F19" s="26" t="s">
        <v>326</v>
      </c>
    </row>
    <row r="20" spans="1:6" x14ac:dyDescent="0.3">
      <c r="A20" s="26" t="s">
        <v>1121</v>
      </c>
      <c r="B20" s="26" t="str">
        <f t="shared" si="0"/>
        <v>Raumfläche mit ungenügendem Ergebnis</v>
      </c>
      <c r="C20" s="26" t="s">
        <v>137</v>
      </c>
      <c r="D20" s="26" t="s">
        <v>220</v>
      </c>
      <c r="E20" s="26" t="s">
        <v>308</v>
      </c>
      <c r="F20" s="26" t="s">
        <v>327</v>
      </c>
    </row>
    <row r="21" spans="1:6" x14ac:dyDescent="0.3">
      <c r="A21" s="26" t="s">
        <v>1122</v>
      </c>
      <c r="B21" s="26" t="str">
        <f t="shared" si="0"/>
        <v>Die Anforderungen des Zusatzes ECO sind</v>
      </c>
      <c r="C21" s="217" t="s">
        <v>1003</v>
      </c>
      <c r="D21" s="217" t="s">
        <v>1004</v>
      </c>
      <c r="E21" s="217" t="s">
        <v>1005</v>
      </c>
      <c r="F21" s="217" t="s">
        <v>1006</v>
      </c>
    </row>
    <row r="22" spans="1:6" x14ac:dyDescent="0.3">
      <c r="A22" s="26" t="s">
        <v>1123</v>
      </c>
      <c r="B22" s="26" t="str">
        <f t="shared" si="0"/>
        <v>Label-Plattform: wenn erfüllt mind. 50% übertragen.</v>
      </c>
      <c r="C22" s="217" t="s">
        <v>1085</v>
      </c>
      <c r="D22" s="217" t="s">
        <v>1087</v>
      </c>
      <c r="E22" s="217" t="s">
        <v>1086</v>
      </c>
      <c r="F22" s="217" t="s">
        <v>1088</v>
      </c>
    </row>
    <row r="23" spans="1:6" x14ac:dyDescent="0.3">
      <c r="A23" s="26" t="s">
        <v>1127</v>
      </c>
      <c r="B23" s="26" t="str">
        <f>INDEX($C23:$F23,1,MATCH(Sprachwahl,ListSprache,0))</f>
        <v>Zusammenfassung der Ergebnisse Ausblick</v>
      </c>
      <c r="C23" s="26" t="s">
        <v>892</v>
      </c>
      <c r="D23" s="217" t="s">
        <v>939</v>
      </c>
      <c r="E23" s="26" t="s">
        <v>902</v>
      </c>
      <c r="F23" s="26" t="s">
        <v>903</v>
      </c>
    </row>
    <row r="24" spans="1:6" x14ac:dyDescent="0.3">
      <c r="A24" s="26" t="s">
        <v>1010</v>
      </c>
      <c r="B24" s="26" t="str">
        <f t="shared" si="0"/>
        <v>Erfasste Raumfläche total</v>
      </c>
      <c r="C24" s="26" t="s">
        <v>135</v>
      </c>
      <c r="D24" s="217" t="s">
        <v>938</v>
      </c>
      <c r="E24" s="26" t="s">
        <v>307</v>
      </c>
      <c r="F24" s="26" t="s">
        <v>326</v>
      </c>
    </row>
    <row r="25" spans="1:6" x14ac:dyDescent="0.3">
      <c r="A25" s="26" t="s">
        <v>1128</v>
      </c>
      <c r="B25" s="26" t="str">
        <f t="shared" si="0"/>
        <v>Raumfläche mit ungenügendem Ergebnis</v>
      </c>
      <c r="C25" s="26" t="s">
        <v>137</v>
      </c>
      <c r="D25" s="26" t="s">
        <v>220</v>
      </c>
      <c r="E25" s="26" t="s">
        <v>308</v>
      </c>
      <c r="F25" s="26" t="s">
        <v>327</v>
      </c>
    </row>
    <row r="26" spans="1:6" x14ac:dyDescent="0.3">
      <c r="A26" s="26" t="s">
        <v>1129</v>
      </c>
      <c r="B26" s="26" t="str">
        <f t="shared" si="0"/>
        <v>Die Anforderungen des Zusatzes ECO sind</v>
      </c>
      <c r="C26" s="217" t="s">
        <v>1003</v>
      </c>
      <c r="D26" s="217" t="s">
        <v>1004</v>
      </c>
      <c r="E26" s="217" t="s">
        <v>1005</v>
      </c>
      <c r="F26" s="217" t="s">
        <v>1006</v>
      </c>
    </row>
    <row r="27" spans="1:6" x14ac:dyDescent="0.3">
      <c r="A27" s="26" t="s">
        <v>1125</v>
      </c>
      <c r="B27" s="26" t="str">
        <f t="shared" si="0"/>
        <v>Kurzanleitung</v>
      </c>
      <c r="C27" s="26" t="s">
        <v>139</v>
      </c>
      <c r="D27" s="26" t="s">
        <v>221</v>
      </c>
      <c r="E27" s="26" t="s">
        <v>309</v>
      </c>
      <c r="F27" s="26" t="s">
        <v>328</v>
      </c>
    </row>
    <row r="28" spans="1:6" x14ac:dyDescent="0.3">
      <c r="A28" s="26" t="s">
        <v>1126</v>
      </c>
      <c r="B28" s="26" t="str">
        <f t="shared" si="0"/>
        <v xml:space="preserve">Eine ausführliche Anleitung finden Sie auf der Minergie-Website.  </v>
      </c>
      <c r="C28" s="26" t="s">
        <v>249</v>
      </c>
      <c r="D28" s="217" t="s">
        <v>940</v>
      </c>
      <c r="E28" s="26" t="s">
        <v>941</v>
      </c>
      <c r="F28" s="26" t="s">
        <v>942</v>
      </c>
    </row>
    <row r="29" spans="1:6" x14ac:dyDescent="0.3">
      <c r="A29" s="26" t="s">
        <v>887</v>
      </c>
      <c r="B29" s="26" t="str">
        <f t="shared" si="0"/>
        <v>Erfassen Sie zuerst die Objektdaten im Blatt 'Überblick'.</v>
      </c>
      <c r="C29" s="26" t="s">
        <v>1135</v>
      </c>
      <c r="D29" s="217" t="s">
        <v>1136</v>
      </c>
      <c r="E29" s="26" t="s">
        <v>1137</v>
      </c>
      <c r="F29" s="26" t="s">
        <v>1138</v>
      </c>
    </row>
    <row r="30" spans="1:6" x14ac:dyDescent="0.3">
      <c r="A30" s="26" t="s">
        <v>1043</v>
      </c>
      <c r="B30" s="26" t="str">
        <f t="shared" si="0"/>
        <v>Falls es sich beim Projekt um eine Erneuerung handelt, füllen Sie das Blatt 'Fragenkatalog_Erneuerung' aus.</v>
      </c>
      <c r="C30" s="217" t="str">
        <f>"Falls es sich beim Projekt um eine Erneuerung handelt, füllen Sie das Blatt '"&amp;SheetQuestionaire&amp;"' aus."</f>
        <v>Falls es sich beim Projekt um eine Erneuerung handelt, füllen Sie das Blatt 'Fragenkatalog_Erneuerung' aus.</v>
      </c>
      <c r="D30" s="217" t="str">
        <f>"Si le projet est une rénovation veuillez remplir l'onglet '"&amp;SheetQuestionaire&amp;"'."</f>
        <v>Si le projet est une rénovation veuillez remplir l'onglet 'Fragenkatalog_Erneuerung'.</v>
      </c>
      <c r="E30" s="217" t="str">
        <f>"Se il progetto è un rinnovo, compilare il foglio '"&amp;SheetQuestionaire&amp;"' ."</f>
        <v>Se il progetto è un rinnovo, compilare il foglio 'Fragenkatalog_Erneuerung' .</v>
      </c>
      <c r="F30" s="217" t="str">
        <f>"If the project is a renovation, complete the sheet '"&amp;SheetQuestionaire&amp;"'."</f>
        <v>If the project is a renovation, complete the sheet 'Fragenkatalog_Erneuerung'.</v>
      </c>
    </row>
    <row r="31" spans="1:6" x14ac:dyDescent="0.3">
      <c r="A31" s="26" t="s">
        <v>888</v>
      </c>
      <c r="B31" s="26" t="str">
        <f t="shared" si="0"/>
        <v>Falls es sich beim Projekt um einen Neubau handelt, gehen Sie zum Blatt 'Fenster'.</v>
      </c>
      <c r="C31" s="217" t="str">
        <f>"Falls es sich beim Projekt um einen Neubau handelt, gehen Sie zum Blatt '"&amp;SheetWindow&amp;"'."</f>
        <v>Falls es sich beim Projekt um einen Neubau handelt, gehen Sie zum Blatt 'Fenster'.</v>
      </c>
      <c r="D31" s="217" t="str">
        <f>"Si le projet est une nouvelle contruction, veuillez ouvrir l'onglet '"&amp;SheetWindow&amp;"'."</f>
        <v>Si le projet est une nouvelle contruction, veuillez ouvrir l'onglet 'Fenster'.</v>
      </c>
      <c r="E31" s="217" t="str">
        <f>"Se il progetto è un nuovo edificio, andare al foglio '"&amp;SheetWindow&amp;"'."</f>
        <v>Se il progetto è un nuovo edificio, andare al foglio 'Fenster'.</v>
      </c>
      <c r="F31" s="26" t="str">
        <f>"If the project is a new building, select the sheet '"&amp;SheetWindow&amp;"'."</f>
        <v>If the project is a new building, select the sheet 'Fenster'.</v>
      </c>
    </row>
    <row r="32" spans="1:6" x14ac:dyDescent="0.3">
      <c r="A32" s="26" t="s">
        <v>889</v>
      </c>
      <c r="B32" s="26" t="str">
        <f t="shared" si="0"/>
        <v>Anschliessend geben Sie die Fensterdaten des Gebäudes in der Tabelle 'Fenster' ein.</v>
      </c>
      <c r="C32" s="26" t="str">
        <f>"Anschliessend geben Sie die Fensterdaten des Gebäudes in der Tabelle '"&amp;SheetWindow&amp;"' ein."</f>
        <v>Anschliessend geben Sie die Fensterdaten des Gebäudes in der Tabelle 'Fenster' ein.</v>
      </c>
      <c r="D32" s="217" t="str">
        <f>"Saisissez ensuite les données des fenêtres du bâtiment dans le tableau '"&amp;SheetWindow&amp;"'."</f>
        <v>Saisissez ensuite les données des fenêtres du bâtiment dans le tableau 'Fenster'.</v>
      </c>
      <c r="E32" s="26" t="str">
        <f>"Immettere quindi i dati delle finestre dell' edificio nella tabella '"&amp;SheetWindow&amp;"'."</f>
        <v>Immettere quindi i dati delle finestre dell' edificio nella tabella 'Fenster'.</v>
      </c>
      <c r="F32" s="26" t="str">
        <f>"Now, enter the windows data in the sheet '"&amp;SheetWindow&amp;"'."</f>
        <v>Now, enter the windows data in the sheet 'Fenster'.</v>
      </c>
    </row>
    <row r="33" spans="1:6" x14ac:dyDescent="0.3">
      <c r="A33" s="26" t="s">
        <v>890</v>
      </c>
      <c r="B33" s="26" t="str">
        <f t="shared" si="0"/>
        <v>Als nächsten Schritt erfassen Sie die Raumdaten und die im Raum verwendeten Fenster im Blatt 'Tageslicht'.</v>
      </c>
      <c r="C33" s="26" t="str">
        <f>"Als nächsten Schritt erfassen Sie die Raumdaten und die im Raum verwendeten Fenster im Blatt '"&amp;SheetDaylight&amp;"'."</f>
        <v>Als nächsten Schritt erfassen Sie die Raumdaten und die im Raum verwendeten Fenster im Blatt 'Tageslicht'.</v>
      </c>
      <c r="D33" s="217" t="str">
        <f>"Comme prochaine étape, ouvrez l'onglet '"&amp;SheetDaylight&amp;"', saisissez les données des locaux et selectionnez les fenêtres utilisées."</f>
        <v>Comme prochaine étape, ouvrez l'onglet 'Tageslicht', saisissez les données des locaux et selectionnez les fenêtres utilisées.</v>
      </c>
      <c r="E33" s="26" t="str">
        <f>"Come passo successivo, nella scheda '"&amp;SheetDaylight&amp;"', inserire i dati del locale e delle finestre di pertinenza."</f>
        <v>Come passo successivo, nella scheda 'Tageslicht', inserire i dati del locale e delle finestre di pertinenza.</v>
      </c>
      <c r="F33" s="26" t="str">
        <f>"As next step, select the sheet '"&amp;SheetDaylight&amp;"' and enter the room data."</f>
        <v>As next step, select the sheet 'Tageslicht' and enter the room data.</v>
      </c>
    </row>
    <row r="34" spans="1:6" x14ac:dyDescent="0.3">
      <c r="A34" s="26" t="s">
        <v>891</v>
      </c>
      <c r="B34" s="26" t="str">
        <f t="shared" si="0"/>
        <v>Zuletzt erfassen Sie den Ausblick pro Raum im Blatt 'Ausblick'.</v>
      </c>
      <c r="C34" s="26" t="str">
        <f>"Zuletzt erfassen Sie den Ausblick pro Raum im Blatt '"&amp;SheetViews&amp;"'."</f>
        <v>Zuletzt erfassen Sie den Ausblick pro Raum im Blatt 'Ausblick'.</v>
      </c>
      <c r="D34" s="217" t="str">
        <f>"Enfin, ouvrez l'onglet '"&amp;SheetViews&amp;"' entrez par local les élments de vue visibles."</f>
        <v>Enfin, ouvrez l'onglet 'Ausblick' entrez par local les élments de vue visibles.</v>
      </c>
      <c r="E34" s="26" t="str">
        <f>"Infine, si inseriscono le viste per locale nel foglio '"&amp;SheetViews&amp;"'."</f>
        <v>Infine, si inseriscono le viste per locale nel foglio 'Ausblick'.</v>
      </c>
      <c r="F34" s="26" t="str">
        <f>"Finally, enter the views per room in the sheet '"&amp;SheetViews&amp;"'."</f>
        <v>Finally, enter the views per room in the sheet 'Ausblick'.</v>
      </c>
    </row>
    <row r="35" spans="1:6" x14ac:dyDescent="0.3">
      <c r="A35" s="26" t="s">
        <v>901</v>
      </c>
      <c r="B35" s="26" t="str">
        <f t="shared" si="0"/>
        <v>Bitte beachten Sie die beim Anklicken der Eingabefelder erscheinenden Hilfstexte.</v>
      </c>
      <c r="C35" s="26" t="s">
        <v>580</v>
      </c>
      <c r="D35" s="217" t="s">
        <v>690</v>
      </c>
      <c r="E35" s="26" t="s">
        <v>654</v>
      </c>
      <c r="F35" s="26" t="s">
        <v>656</v>
      </c>
    </row>
    <row r="36" spans="1:6" x14ac:dyDescent="0.3">
      <c r="A36" s="26" t="s">
        <v>1009</v>
      </c>
      <c r="B36" s="26" t="str">
        <f t="shared" si="0"/>
        <v>Die Ergebnisse werden unten auf der Seite im Blatt 'Tageslicht' und im Blatt 'Überblick' ausgegeben.</v>
      </c>
      <c r="C36" s="26" t="str">
        <f>"Die Ergebnisse werden unten auf der Seite im Blatt '"&amp;SheetDaylight&amp;"' und im Blatt '"&amp;SheetOverview&amp;"' ausgegeben."</f>
        <v>Die Ergebnisse werden unten auf der Seite im Blatt 'Tageslicht' und im Blatt 'Überblick' ausgegeben.</v>
      </c>
      <c r="D36" s="217" t="str">
        <f>"Les résultats seront affichés au bas de la page '"&amp;SheetDaylight&amp;"' et '"&amp;SheetOverview&amp;"'."</f>
        <v>Les résultats seront affichés au bas de la page 'Tageslicht' et 'Überblick'.</v>
      </c>
      <c r="E36" s="26" t="str">
        <f>"I risultati vengono visualizzati in fondo alla pagina nei fogli '"&amp;SheetOverview&amp;"' e '"&amp;SheetDaylight&amp;"'."</f>
        <v>I risultati vengono visualizzati in fondo alla pagina nei fogli 'Überblick' e 'Tageslicht'.</v>
      </c>
      <c r="F36" s="26" t="str">
        <f>"The results are displayed on the bottom of the sheet '"&amp;SheetDaylight&amp;"' and on the sheet '"&amp;SheetOverview&amp;"'."</f>
        <v>The results are displayed on the bottom of the sheet 'Tageslicht' and on the sheet 'Überblick'.</v>
      </c>
    </row>
    <row r="37" spans="1:6" x14ac:dyDescent="0.3">
      <c r="A37" s="26" t="s">
        <v>1016</v>
      </c>
      <c r="B37" s="26" t="str">
        <f t="shared" si="0"/>
        <v>Falls eine Tabelle nicht ausreichen sollte, so können Sie die Ergebnisse von anderen Blättern unten im Blatt 'Tageslicht' eintragen.</v>
      </c>
      <c r="C37" s="2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'Tageslicht' eintragen.</v>
      </c>
      <c r="D37" s="217" t="str">
        <f>"Si un tableau n'est pas suffisant, vous pouvez saisir les résultats provenant d'autres feuilles au bas de la feuille '"&amp;SheetDaylight&amp;"'."</f>
        <v>Si un tableau n'est pas suffisant, vous pouvez saisir les résultats provenant d'autres feuilles au bas de la feuille 'Tageslicht'.</v>
      </c>
      <c r="E37" s="26" t="str">
        <f>"Se una tabella non è sufficiente, è possibile inserire i risultati di altri fogli in fondo al foglio '"&amp;SheetDaylight&amp;"'."</f>
        <v>Se una tabella non è sufficiente, è possibile inserire i risultati di altri fogli in fondo al foglio 'Tageslicht'.</v>
      </c>
      <c r="F37" s="26" t="str">
        <f>"If the number of rows is insufficient, you can report the results of other tools on the bottom of sheet '"&amp;SheetDaylight&amp;"'."</f>
        <v>If the number of rows is insufficient, you can report the results of other tools on the bottom of sheet 'Tageslicht'.</v>
      </c>
    </row>
    <row r="38" spans="1:6" x14ac:dyDescent="0.3">
      <c r="A38" s="26" t="s">
        <v>1015</v>
      </c>
      <c r="B38" s="26" t="str">
        <f t="shared" si="0"/>
        <v>Bei Fragen zu Zertifizierungsobjekten steht Ihnen die zuständige Zertifizierungsstelle gerne zur Verfügung.</v>
      </c>
      <c r="C38" s="26" t="s">
        <v>581</v>
      </c>
      <c r="D38" s="217" t="s">
        <v>943</v>
      </c>
      <c r="E38" s="26" t="s">
        <v>655</v>
      </c>
      <c r="F38" s="26" t="s">
        <v>657</v>
      </c>
    </row>
    <row r="39" spans="1:6" x14ac:dyDescent="0.3">
      <c r="A39" s="26" t="s">
        <v>1124</v>
      </c>
      <c r="B39" s="26" t="str">
        <f t="shared" si="0"/>
        <v>Ausnahmeregelung für Schulen: Tageslichterfüllungsgrad von mindestens 40% (siehe Vorgabe 140.01 Tageslicht).</v>
      </c>
      <c r="C39" s="259" t="s">
        <v>1096</v>
      </c>
      <c r="D39" s="259" t="s">
        <v>1094</v>
      </c>
      <c r="E39" s="259" t="s">
        <v>1095</v>
      </c>
      <c r="F39" s="259" t="s">
        <v>1115</v>
      </c>
    </row>
    <row r="41" spans="1:6" x14ac:dyDescent="0.3">
      <c r="A41" s="37" t="s">
        <v>171</v>
      </c>
      <c r="B41" s="37"/>
      <c r="C41" s="37"/>
      <c r="D41" s="37"/>
      <c r="E41" s="37"/>
      <c r="F41" s="37"/>
    </row>
    <row r="42" spans="1:6" x14ac:dyDescent="0.3">
      <c r="A42" s="37" t="s">
        <v>162</v>
      </c>
      <c r="B42" s="37" t="s">
        <v>163</v>
      </c>
      <c r="C42" s="37" t="str">
        <f>C$4</f>
        <v>Deutsch</v>
      </c>
      <c r="D42" s="37" t="str">
        <f>D$4</f>
        <v>Francais</v>
      </c>
      <c r="E42" s="37" t="str">
        <f>E$4</f>
        <v>Italiano</v>
      </c>
      <c r="F42" s="37" t="str">
        <f>F$4</f>
        <v>English</v>
      </c>
    </row>
    <row r="43" spans="1:6" x14ac:dyDescent="0.3">
      <c r="A43" s="26" t="s">
        <v>165</v>
      </c>
      <c r="B43" s="26" t="str">
        <f t="shared" ref="B43:B57" si="1">INDEX($C43:$F43,1,MATCH(Sprachwahl,ListSprache,0))</f>
        <v>Fensterdaten</v>
      </c>
      <c r="C43" s="26" t="s">
        <v>66</v>
      </c>
      <c r="D43" s="217" t="s">
        <v>948</v>
      </c>
      <c r="E43" s="26" t="s">
        <v>627</v>
      </c>
      <c r="F43" s="26" t="s">
        <v>329</v>
      </c>
    </row>
    <row r="44" spans="1:6" x14ac:dyDescent="0.3">
      <c r="A44" s="26" t="s">
        <v>183</v>
      </c>
      <c r="B44" s="26" t="str">
        <f t="shared" si="1"/>
        <v>Fensterdaten</v>
      </c>
      <c r="C44" s="26" t="s">
        <v>66</v>
      </c>
      <c r="D44" s="217" t="s">
        <v>948</v>
      </c>
      <c r="E44" s="26" t="s">
        <v>627</v>
      </c>
      <c r="F44" s="26" t="s">
        <v>329</v>
      </c>
    </row>
    <row r="45" spans="1:6" x14ac:dyDescent="0.3">
      <c r="A45" s="26" t="s">
        <v>174</v>
      </c>
      <c r="B45" s="26" t="str">
        <f t="shared" si="1"/>
        <v>Kürzel
-</v>
      </c>
      <c r="C45" s="26" t="s">
        <v>77</v>
      </c>
      <c r="D45" s="26" t="s">
        <v>294</v>
      </c>
      <c r="E45" s="26" t="s">
        <v>644</v>
      </c>
      <c r="F45" s="26" t="s">
        <v>659</v>
      </c>
    </row>
    <row r="46" spans="1:6" x14ac:dyDescent="0.3">
      <c r="A46" s="26" t="s">
        <v>175</v>
      </c>
      <c r="B46" s="26" t="str">
        <f t="shared" si="1"/>
        <v>Bezeichnung
-</v>
      </c>
      <c r="C46" s="26" t="s">
        <v>76</v>
      </c>
      <c r="D46" s="217" t="s">
        <v>949</v>
      </c>
      <c r="E46" s="26" t="s">
        <v>645</v>
      </c>
      <c r="F46" s="26" t="s">
        <v>330</v>
      </c>
    </row>
    <row r="47" spans="1:6" x14ac:dyDescent="0.3">
      <c r="A47" s="26" t="s">
        <v>176</v>
      </c>
      <c r="B47" s="26" t="str">
        <f t="shared" si="1"/>
        <v>Breite
m</v>
      </c>
      <c r="C47" s="26" t="s">
        <v>73</v>
      </c>
      <c r="D47" s="26" t="s">
        <v>227</v>
      </c>
      <c r="E47" s="26" t="s">
        <v>641</v>
      </c>
      <c r="F47" s="26" t="s">
        <v>331</v>
      </c>
    </row>
    <row r="48" spans="1:6" x14ac:dyDescent="0.3">
      <c r="A48" s="26" t="s">
        <v>177</v>
      </c>
      <c r="B48" s="26" t="str">
        <f t="shared" si="1"/>
        <v>Höhe
m</v>
      </c>
      <c r="C48" s="26" t="s">
        <v>26</v>
      </c>
      <c r="D48" s="26" t="s">
        <v>295</v>
      </c>
      <c r="E48" s="26" t="s">
        <v>341</v>
      </c>
      <c r="F48" s="26" t="s">
        <v>332</v>
      </c>
    </row>
    <row r="49" spans="1:6" x14ac:dyDescent="0.3">
      <c r="A49" s="26" t="s">
        <v>178</v>
      </c>
      <c r="B49" s="26" t="str">
        <f t="shared" si="1"/>
        <v>Glasanteil
%</v>
      </c>
      <c r="C49" s="26" t="s">
        <v>126</v>
      </c>
      <c r="D49" s="217" t="s">
        <v>950</v>
      </c>
      <c r="E49" s="26" t="s">
        <v>369</v>
      </c>
      <c r="F49" s="26" t="s">
        <v>333</v>
      </c>
    </row>
    <row r="50" spans="1:6" x14ac:dyDescent="0.3">
      <c r="A50" s="26" t="s">
        <v>179</v>
      </c>
      <c r="B50" s="26" t="str">
        <f t="shared" si="1"/>
        <v>Tau
%</v>
      </c>
      <c r="C50" s="26" t="s">
        <v>74</v>
      </c>
      <c r="D50" s="217" t="s">
        <v>951</v>
      </c>
      <c r="E50" s="26" t="s">
        <v>342</v>
      </c>
      <c r="F50" s="26" t="s">
        <v>334</v>
      </c>
    </row>
    <row r="51" spans="1:6" x14ac:dyDescent="0.3">
      <c r="A51" s="26" t="s">
        <v>180</v>
      </c>
      <c r="B51" s="26" t="str">
        <f t="shared" si="1"/>
        <v>Sturzhöhe
m</v>
      </c>
      <c r="C51" s="26" t="s">
        <v>78</v>
      </c>
      <c r="D51" s="26" t="s">
        <v>250</v>
      </c>
      <c r="E51" s="26" t="s">
        <v>343</v>
      </c>
      <c r="F51" s="26" t="s">
        <v>335</v>
      </c>
    </row>
    <row r="52" spans="1:6" x14ac:dyDescent="0.3">
      <c r="A52" s="26" t="s">
        <v>181</v>
      </c>
      <c r="B52" s="26" t="str">
        <f t="shared" si="1"/>
        <v>Auskragung
m</v>
      </c>
      <c r="C52" s="26" t="s">
        <v>145</v>
      </c>
      <c r="D52" s="26" t="s">
        <v>251</v>
      </c>
      <c r="E52" s="26" t="s">
        <v>640</v>
      </c>
      <c r="F52" s="26" t="s">
        <v>336</v>
      </c>
    </row>
    <row r="53" spans="1:6" x14ac:dyDescent="0.3">
      <c r="A53" s="26" t="s">
        <v>182</v>
      </c>
      <c r="B53" s="26" t="str">
        <f t="shared" si="1"/>
        <v>Oberlicht
-</v>
      </c>
      <c r="C53" s="26" t="s">
        <v>112</v>
      </c>
      <c r="D53" s="26" t="s">
        <v>252</v>
      </c>
      <c r="E53" s="26" t="s">
        <v>642</v>
      </c>
      <c r="F53" s="26" t="s">
        <v>337</v>
      </c>
    </row>
    <row r="54" spans="1:6" x14ac:dyDescent="0.3">
      <c r="A54" s="26" t="s">
        <v>184</v>
      </c>
      <c r="B54" s="26" t="str">
        <f t="shared" si="1"/>
        <v>Sonnenschutz und Verschattung</v>
      </c>
      <c r="C54" s="26" t="s">
        <v>143</v>
      </c>
      <c r="D54" s="217" t="s">
        <v>952</v>
      </c>
      <c r="E54" s="26" t="s">
        <v>344</v>
      </c>
      <c r="F54" s="26" t="s">
        <v>338</v>
      </c>
    </row>
    <row r="55" spans="1:6" x14ac:dyDescent="0.3">
      <c r="A55" s="26" t="s">
        <v>185</v>
      </c>
      <c r="B55" s="26" t="str">
        <f t="shared" si="1"/>
        <v>Typ
-</v>
      </c>
      <c r="C55" s="26" t="s">
        <v>65</v>
      </c>
      <c r="D55" s="26" t="s">
        <v>296</v>
      </c>
      <c r="E55" s="26" t="s">
        <v>345</v>
      </c>
      <c r="F55" s="26" t="s">
        <v>296</v>
      </c>
    </row>
    <row r="56" spans="1:6" x14ac:dyDescent="0.3">
      <c r="A56" s="26" t="s">
        <v>186</v>
      </c>
      <c r="B56" s="26" t="str">
        <f t="shared" si="1"/>
        <v>Steuerung
-</v>
      </c>
      <c r="C56" s="26" t="s">
        <v>79</v>
      </c>
      <c r="D56" s="217" t="s">
        <v>953</v>
      </c>
      <c r="E56" s="26" t="s">
        <v>346</v>
      </c>
      <c r="F56" s="26" t="s">
        <v>339</v>
      </c>
    </row>
    <row r="57" spans="1:6" x14ac:dyDescent="0.3">
      <c r="A57" s="26" t="s">
        <v>187</v>
      </c>
      <c r="B57" s="26" t="str">
        <f t="shared" si="1"/>
        <v>Verschattung
-</v>
      </c>
      <c r="C57" s="26" t="s">
        <v>111</v>
      </c>
      <c r="D57" s="217" t="s">
        <v>954</v>
      </c>
      <c r="E57" s="26" t="s">
        <v>643</v>
      </c>
      <c r="F57" s="26" t="s">
        <v>340</v>
      </c>
    </row>
    <row r="59" spans="1:6" x14ac:dyDescent="0.3">
      <c r="A59" s="37" t="s">
        <v>188</v>
      </c>
      <c r="B59" s="37"/>
      <c r="C59" s="37"/>
      <c r="D59" s="37"/>
      <c r="E59" s="37"/>
      <c r="F59" s="37"/>
    </row>
    <row r="60" spans="1:6" x14ac:dyDescent="0.3">
      <c r="A60" s="37" t="s">
        <v>162</v>
      </c>
      <c r="B60" s="37" t="s">
        <v>163</v>
      </c>
      <c r="C60" s="37" t="str">
        <f>C$4</f>
        <v>Deutsch</v>
      </c>
      <c r="D60" s="37" t="str">
        <f>D$4</f>
        <v>Francais</v>
      </c>
      <c r="E60" s="37" t="str">
        <f>E$4</f>
        <v>Italiano</v>
      </c>
      <c r="F60" s="37" t="str">
        <f>F$4</f>
        <v>English</v>
      </c>
    </row>
    <row r="61" spans="1:6" x14ac:dyDescent="0.3">
      <c r="A61" s="26" t="s">
        <v>165</v>
      </c>
      <c r="B61" s="26" t="str">
        <f t="shared" ref="B61:B97" si="2">INDEX($C61:$F61,1,MATCH(Sprachwahl,ListSprache,0))</f>
        <v>Typische Räume und Tageslicht</v>
      </c>
      <c r="C61" s="26" t="s">
        <v>189</v>
      </c>
      <c r="D61" s="26" t="s">
        <v>225</v>
      </c>
      <c r="E61" s="26" t="s">
        <v>310</v>
      </c>
      <c r="F61" s="26" t="s">
        <v>347</v>
      </c>
    </row>
    <row r="62" spans="1:6" x14ac:dyDescent="0.3">
      <c r="A62" s="26" t="s">
        <v>183</v>
      </c>
      <c r="B62" s="26" t="str">
        <f t="shared" si="2"/>
        <v>Typische Räume</v>
      </c>
      <c r="C62" s="26" t="s">
        <v>7</v>
      </c>
      <c r="D62" s="26" t="s">
        <v>226</v>
      </c>
      <c r="E62" s="26" t="s">
        <v>311</v>
      </c>
      <c r="F62" s="26" t="s">
        <v>348</v>
      </c>
    </row>
    <row r="63" spans="1:6" x14ac:dyDescent="0.3">
      <c r="A63" s="26" t="s">
        <v>739</v>
      </c>
      <c r="B63" s="26" t="str">
        <f t="shared" si="2"/>
        <v>Res.</v>
      </c>
      <c r="C63" s="26" t="s">
        <v>738</v>
      </c>
      <c r="D63" s="26" t="s">
        <v>740</v>
      </c>
      <c r="E63" s="26" t="s">
        <v>741</v>
      </c>
      <c r="F63" s="26" t="s">
        <v>738</v>
      </c>
    </row>
    <row r="64" spans="1:6" x14ac:dyDescent="0.3">
      <c r="A64" s="26" t="s">
        <v>191</v>
      </c>
      <c r="B64" s="26" t="str">
        <f t="shared" si="2"/>
        <v>Nr.</v>
      </c>
      <c r="C64" s="26" t="s">
        <v>48</v>
      </c>
      <c r="D64" s="26" t="s">
        <v>48</v>
      </c>
      <c r="E64" s="26" t="s">
        <v>48</v>
      </c>
      <c r="F64" s="26" t="s">
        <v>349</v>
      </c>
    </row>
    <row r="65" spans="1:6" x14ac:dyDescent="0.3">
      <c r="A65" s="26" t="s">
        <v>174</v>
      </c>
      <c r="B65" s="26" t="str">
        <f t="shared" si="2"/>
        <v>Raumbezeichnung
-</v>
      </c>
      <c r="C65" s="26" t="s">
        <v>647</v>
      </c>
      <c r="D65" s="217" t="s">
        <v>955</v>
      </c>
      <c r="E65" s="26" t="s">
        <v>648</v>
      </c>
      <c r="F65" s="26" t="s">
        <v>649</v>
      </c>
    </row>
    <row r="66" spans="1:6" x14ac:dyDescent="0.3">
      <c r="A66" s="26" t="s">
        <v>175</v>
      </c>
      <c r="B66" s="26" t="str">
        <f t="shared" si="2"/>
        <v>Auswahl Hauptnutzung
-</v>
      </c>
      <c r="C66" s="26" t="s">
        <v>662</v>
      </c>
      <c r="D66" s="26" t="s">
        <v>663</v>
      </c>
      <c r="E66" s="26" t="s">
        <v>652</v>
      </c>
      <c r="F66" s="26" t="s">
        <v>661</v>
      </c>
    </row>
    <row r="67" spans="1:6" x14ac:dyDescent="0.3">
      <c r="A67" s="26" t="s">
        <v>192</v>
      </c>
      <c r="B67" s="26" t="str">
        <f t="shared" si="2"/>
        <v>Raumdaten</v>
      </c>
      <c r="C67" s="26" t="s">
        <v>64</v>
      </c>
      <c r="D67" s="217" t="s">
        <v>956</v>
      </c>
      <c r="E67" s="26" t="s">
        <v>312</v>
      </c>
      <c r="F67" s="26" t="s">
        <v>350</v>
      </c>
    </row>
    <row r="68" spans="1:6" x14ac:dyDescent="0.3">
      <c r="A68" s="26" t="s">
        <v>176</v>
      </c>
      <c r="B68" s="26" t="str">
        <f t="shared" si="2"/>
        <v>Länge
m</v>
      </c>
      <c r="C68" s="26" t="s">
        <v>24</v>
      </c>
      <c r="D68" s="26" t="s">
        <v>227</v>
      </c>
      <c r="E68" s="26" t="s">
        <v>641</v>
      </c>
      <c r="F68" s="26" t="s">
        <v>331</v>
      </c>
    </row>
    <row r="69" spans="1:6" x14ac:dyDescent="0.3">
      <c r="A69" s="26" t="s">
        <v>177</v>
      </c>
      <c r="B69" s="26" t="str">
        <f t="shared" si="2"/>
        <v>Tiefe
m</v>
      </c>
      <c r="C69" s="26" t="s">
        <v>25</v>
      </c>
      <c r="D69" s="26" t="s">
        <v>228</v>
      </c>
      <c r="E69" s="26" t="s">
        <v>341</v>
      </c>
      <c r="F69" s="26" t="s">
        <v>351</v>
      </c>
    </row>
    <row r="70" spans="1:6" x14ac:dyDescent="0.3">
      <c r="A70" s="26" t="s">
        <v>178</v>
      </c>
      <c r="B70" s="26" t="str">
        <f t="shared" si="2"/>
        <v>Höhe
m</v>
      </c>
      <c r="C70" s="26" t="s">
        <v>26</v>
      </c>
      <c r="D70" s="26" t="s">
        <v>229</v>
      </c>
      <c r="E70" s="26" t="s">
        <v>646</v>
      </c>
      <c r="F70" s="26" t="s">
        <v>332</v>
      </c>
    </row>
    <row r="71" spans="1:6" x14ac:dyDescent="0.3">
      <c r="A71" s="26" t="s">
        <v>179</v>
      </c>
      <c r="B71" s="26" t="str">
        <f t="shared" si="2"/>
        <v>Fläche
m2</v>
      </c>
      <c r="C71" s="26" t="s">
        <v>190</v>
      </c>
      <c r="D71" s="26" t="s">
        <v>230</v>
      </c>
      <c r="E71" s="26" t="s">
        <v>650</v>
      </c>
      <c r="F71" s="26" t="s">
        <v>352</v>
      </c>
    </row>
    <row r="72" spans="1:6" x14ac:dyDescent="0.3">
      <c r="A72" s="26" t="s">
        <v>180</v>
      </c>
      <c r="B72" s="26" t="str">
        <f t="shared" si="2"/>
        <v>Anzahl
Stk</v>
      </c>
      <c r="C72" s="26" t="s">
        <v>37</v>
      </c>
      <c r="D72" s="26" t="s">
        <v>231</v>
      </c>
      <c r="E72" s="26" t="s">
        <v>628</v>
      </c>
      <c r="F72" s="26" t="s">
        <v>353</v>
      </c>
    </row>
    <row r="73" spans="1:6" x14ac:dyDescent="0.3">
      <c r="A73" s="26" t="s">
        <v>181</v>
      </c>
      <c r="B73" s="26" t="str">
        <f t="shared" si="2"/>
        <v>Raum-Reflexion
-</v>
      </c>
      <c r="C73" s="26" t="s">
        <v>38</v>
      </c>
      <c r="D73" s="26" t="s">
        <v>233</v>
      </c>
      <c r="E73" s="26" t="s">
        <v>653</v>
      </c>
      <c r="F73" s="26" t="s">
        <v>660</v>
      </c>
    </row>
    <row r="74" spans="1:6" x14ac:dyDescent="0.3">
      <c r="A74" s="26" t="s">
        <v>193</v>
      </c>
      <c r="B74" s="26" t="str">
        <f t="shared" si="2"/>
        <v>Fenster</v>
      </c>
      <c r="C74" s="26" t="s">
        <v>62</v>
      </c>
      <c r="D74" s="26" t="s">
        <v>234</v>
      </c>
      <c r="E74" s="26" t="s">
        <v>313</v>
      </c>
      <c r="F74" s="26" t="s">
        <v>354</v>
      </c>
    </row>
    <row r="75" spans="1:6" x14ac:dyDescent="0.3">
      <c r="A75" s="26" t="s">
        <v>182</v>
      </c>
      <c r="B75" s="26" t="str">
        <f t="shared" si="2"/>
        <v>Typ 1
-</v>
      </c>
      <c r="C75" s="26" t="s">
        <v>117</v>
      </c>
      <c r="D75" s="26" t="s">
        <v>235</v>
      </c>
      <c r="E75" s="26" t="s">
        <v>314</v>
      </c>
      <c r="F75" s="26" t="s">
        <v>235</v>
      </c>
    </row>
    <row r="76" spans="1:6" x14ac:dyDescent="0.3">
      <c r="A76" s="26" t="s">
        <v>185</v>
      </c>
      <c r="B76" s="26" t="str">
        <f t="shared" si="2"/>
        <v>Anzahl
Stk</v>
      </c>
      <c r="C76" s="26" t="s">
        <v>37</v>
      </c>
      <c r="D76" s="26" t="s">
        <v>231</v>
      </c>
      <c r="E76" s="26" t="s">
        <v>629</v>
      </c>
      <c r="F76" s="26" t="s">
        <v>353</v>
      </c>
    </row>
    <row r="77" spans="1:6" x14ac:dyDescent="0.3">
      <c r="A77" s="26" t="s">
        <v>186</v>
      </c>
      <c r="B77" s="26" t="str">
        <f t="shared" si="2"/>
        <v>Typ 2
-</v>
      </c>
      <c r="C77" s="26" t="s">
        <v>118</v>
      </c>
      <c r="D77" s="26" t="s">
        <v>236</v>
      </c>
      <c r="E77" s="26" t="s">
        <v>315</v>
      </c>
      <c r="F77" s="26" t="s">
        <v>236</v>
      </c>
    </row>
    <row r="78" spans="1:6" x14ac:dyDescent="0.3">
      <c r="A78" s="26" t="s">
        <v>187</v>
      </c>
      <c r="B78" s="26" t="str">
        <f t="shared" si="2"/>
        <v>Anzahl
Stk</v>
      </c>
      <c r="C78" s="26" t="s">
        <v>37</v>
      </c>
      <c r="D78" s="26" t="s">
        <v>231</v>
      </c>
      <c r="E78" s="26" t="s">
        <v>629</v>
      </c>
      <c r="F78" s="26" t="s">
        <v>353</v>
      </c>
    </row>
    <row r="79" spans="1:6" x14ac:dyDescent="0.3">
      <c r="A79" s="26" t="s">
        <v>194</v>
      </c>
      <c r="B79" s="26" t="str">
        <f t="shared" si="2"/>
        <v>Typ 3
-</v>
      </c>
      <c r="C79" s="26" t="s">
        <v>119</v>
      </c>
      <c r="D79" s="26" t="s">
        <v>237</v>
      </c>
      <c r="E79" s="26" t="s">
        <v>316</v>
      </c>
      <c r="F79" s="26" t="s">
        <v>237</v>
      </c>
    </row>
    <row r="80" spans="1:6" x14ac:dyDescent="0.3">
      <c r="A80" s="26" t="s">
        <v>195</v>
      </c>
      <c r="B80" s="26" t="str">
        <f t="shared" si="2"/>
        <v>Anzahl
Stk</v>
      </c>
      <c r="C80" s="26" t="s">
        <v>37</v>
      </c>
      <c r="D80" s="26" t="s">
        <v>231</v>
      </c>
      <c r="E80" s="26" t="s">
        <v>629</v>
      </c>
      <c r="F80" s="26" t="s">
        <v>353</v>
      </c>
    </row>
    <row r="81" spans="1:6" x14ac:dyDescent="0.3">
      <c r="A81" s="26" t="s">
        <v>196</v>
      </c>
      <c r="B81" s="26" t="str">
        <f t="shared" si="2"/>
        <v>Typ 4
-</v>
      </c>
      <c r="C81" s="26" t="s">
        <v>120</v>
      </c>
      <c r="D81" s="26" t="s">
        <v>238</v>
      </c>
      <c r="E81" s="26" t="s">
        <v>317</v>
      </c>
      <c r="F81" s="26" t="s">
        <v>238</v>
      </c>
    </row>
    <row r="82" spans="1:6" x14ac:dyDescent="0.3">
      <c r="A82" s="26" t="s">
        <v>197</v>
      </c>
      <c r="B82" s="26" t="str">
        <f t="shared" si="2"/>
        <v>Anzahl
Stk</v>
      </c>
      <c r="C82" s="26" t="s">
        <v>37</v>
      </c>
      <c r="D82" s="26" t="s">
        <v>231</v>
      </c>
      <c r="E82" s="26" t="s">
        <v>629</v>
      </c>
      <c r="F82" s="26" t="s">
        <v>353</v>
      </c>
    </row>
    <row r="83" spans="1:6" x14ac:dyDescent="0.3">
      <c r="A83" s="26" t="s">
        <v>742</v>
      </c>
      <c r="B83" s="26" t="str">
        <f t="shared" si="2"/>
        <v>Erf. Grad
%</v>
      </c>
      <c r="C83" s="26" t="s">
        <v>743</v>
      </c>
      <c r="D83" s="26" t="s">
        <v>744</v>
      </c>
      <c r="E83" s="26" t="s">
        <v>745</v>
      </c>
      <c r="F83" s="26" t="s">
        <v>788</v>
      </c>
    </row>
    <row r="84" spans="1:6" x14ac:dyDescent="0.3">
      <c r="A84" s="26" t="s">
        <v>492</v>
      </c>
      <c r="B84" s="26" t="str">
        <f t="shared" si="2"/>
        <v>Ergebnisse</v>
      </c>
      <c r="C84" s="26" t="s">
        <v>121</v>
      </c>
      <c r="D84" s="26" t="s">
        <v>239</v>
      </c>
      <c r="E84" s="26" t="s">
        <v>318</v>
      </c>
      <c r="F84" s="26" t="s">
        <v>355</v>
      </c>
    </row>
    <row r="85" spans="1:6" x14ac:dyDescent="0.3">
      <c r="A85" s="26" t="s">
        <v>493</v>
      </c>
      <c r="B85" s="26" t="str">
        <f t="shared" si="2"/>
        <v>Resultate aus diesem Blatt</v>
      </c>
      <c r="C85" s="26" t="s">
        <v>530</v>
      </c>
      <c r="D85" s="26" t="s">
        <v>483</v>
      </c>
      <c r="E85" s="26" t="s">
        <v>630</v>
      </c>
      <c r="F85" s="26" t="s">
        <v>484</v>
      </c>
    </row>
    <row r="86" spans="1:6" x14ac:dyDescent="0.3">
      <c r="A86" s="26" t="s">
        <v>494</v>
      </c>
      <c r="B86" s="26" t="str">
        <f t="shared" si="2"/>
        <v>Übertrag aus weiterem Nachw.</v>
      </c>
      <c r="C86" s="217" t="s">
        <v>957</v>
      </c>
      <c r="D86" s="217" t="s">
        <v>958</v>
      </c>
      <c r="E86" s="217" t="s">
        <v>959</v>
      </c>
      <c r="F86" s="217" t="s">
        <v>960</v>
      </c>
    </row>
    <row r="87" spans="1:6" x14ac:dyDescent="0.3">
      <c r="A87" s="26" t="s">
        <v>495</v>
      </c>
      <c r="B87" s="26" t="str">
        <f t="shared" si="2"/>
        <v>Gesamtresultat</v>
      </c>
      <c r="C87" s="26" t="s">
        <v>488</v>
      </c>
      <c r="D87" s="26" t="s">
        <v>489</v>
      </c>
      <c r="E87" s="26" t="s">
        <v>490</v>
      </c>
      <c r="F87" s="26" t="s">
        <v>491</v>
      </c>
    </row>
    <row r="88" spans="1:6" x14ac:dyDescent="0.3">
      <c r="A88" s="26" t="s">
        <v>496</v>
      </c>
      <c r="B88" s="26" t="str">
        <f t="shared" si="2"/>
        <v>Bezeichnung</v>
      </c>
      <c r="C88" s="26" t="s">
        <v>72</v>
      </c>
      <c r="D88" s="26" t="s">
        <v>485</v>
      </c>
      <c r="E88" s="26" t="s">
        <v>486</v>
      </c>
      <c r="F88" s="26" t="s">
        <v>487</v>
      </c>
    </row>
    <row r="89" spans="1:6" x14ac:dyDescent="0.3">
      <c r="A89" s="26" t="s">
        <v>497</v>
      </c>
      <c r="B89" s="26" t="str">
        <f t="shared" si="2"/>
        <v>Gesamtfläche</v>
      </c>
      <c r="C89" s="26" t="s">
        <v>746</v>
      </c>
      <c r="D89" s="26" t="s">
        <v>477</v>
      </c>
      <c r="E89" s="26" t="s">
        <v>747</v>
      </c>
      <c r="F89" s="26" t="s">
        <v>476</v>
      </c>
    </row>
    <row r="90" spans="1:6" x14ac:dyDescent="0.3">
      <c r="A90" s="26" t="s">
        <v>498</v>
      </c>
      <c r="B90" s="26" t="str">
        <f t="shared" si="2"/>
        <v>Resultat</v>
      </c>
      <c r="C90" s="26" t="s">
        <v>478</v>
      </c>
      <c r="D90" s="26" t="s">
        <v>479</v>
      </c>
      <c r="E90" s="26" t="s">
        <v>480</v>
      </c>
      <c r="F90" s="26" t="s">
        <v>481</v>
      </c>
    </row>
    <row r="91" spans="1:6" x14ac:dyDescent="0.3">
      <c r="A91" s="26" t="s">
        <v>499</v>
      </c>
      <c r="B91" s="26" t="str">
        <f t="shared" si="2"/>
        <v>Gesamtfläche</v>
      </c>
      <c r="C91" s="26" t="s">
        <v>746</v>
      </c>
      <c r="D91" s="26" t="s">
        <v>477</v>
      </c>
      <c r="E91" s="26" t="s">
        <v>747</v>
      </c>
      <c r="F91" s="26" t="s">
        <v>476</v>
      </c>
    </row>
    <row r="92" spans="1:6" x14ac:dyDescent="0.3">
      <c r="A92" s="26" t="s">
        <v>500</v>
      </c>
      <c r="B92" s="26" t="str">
        <f t="shared" si="2"/>
        <v>Gesamtfläche</v>
      </c>
      <c r="C92" s="26" t="s">
        <v>746</v>
      </c>
      <c r="D92" s="26" t="s">
        <v>477</v>
      </c>
      <c r="E92" s="26" t="s">
        <v>747</v>
      </c>
      <c r="F92" s="26" t="s">
        <v>476</v>
      </c>
    </row>
    <row r="93" spans="1:6" x14ac:dyDescent="0.3">
      <c r="A93" s="26" t="s">
        <v>501</v>
      </c>
      <c r="B93" s="26" t="str">
        <f t="shared" si="2"/>
        <v>Resultat</v>
      </c>
      <c r="C93" s="26" t="s">
        <v>478</v>
      </c>
      <c r="D93" s="26" t="s">
        <v>479</v>
      </c>
      <c r="E93" s="26" t="s">
        <v>480</v>
      </c>
      <c r="F93" s="26" t="s">
        <v>481</v>
      </c>
    </row>
    <row r="94" spans="1:6" x14ac:dyDescent="0.3">
      <c r="A94" s="26" t="s">
        <v>502</v>
      </c>
      <c r="B94" s="26" t="str">
        <f t="shared" si="2"/>
        <v>Resultat</v>
      </c>
      <c r="C94" s="26" t="s">
        <v>478</v>
      </c>
      <c r="D94" s="26" t="s">
        <v>479</v>
      </c>
      <c r="E94" s="26" t="s">
        <v>480</v>
      </c>
      <c r="F94" s="26" t="s">
        <v>481</v>
      </c>
    </row>
    <row r="95" spans="1:6" x14ac:dyDescent="0.3">
      <c r="A95" s="26" t="s">
        <v>503</v>
      </c>
      <c r="B95" s="26" t="str">
        <f t="shared" si="2"/>
        <v>Tageslicht-Erfüllungsgrad über alle Räume</v>
      </c>
      <c r="C95" s="259" t="s">
        <v>1106</v>
      </c>
      <c r="D95" s="259" t="s">
        <v>1107</v>
      </c>
      <c r="E95" s="259" t="s">
        <v>1108</v>
      </c>
      <c r="F95" s="259" t="s">
        <v>1109</v>
      </c>
    </row>
    <row r="96" spans="1:6" x14ac:dyDescent="0.3">
      <c r="A96" s="26" t="s">
        <v>504</v>
      </c>
      <c r="B96" s="26" t="str">
        <f t="shared" si="2"/>
        <v>Anteil der Raumfläche mit ungenügendem Ergebnis</v>
      </c>
      <c r="C96" s="259" t="s">
        <v>1102</v>
      </c>
      <c r="D96" s="259" t="s">
        <v>1103</v>
      </c>
      <c r="E96" s="259" t="s">
        <v>1104</v>
      </c>
      <c r="F96" s="259" t="s">
        <v>1105</v>
      </c>
    </row>
    <row r="97" spans="1:6" x14ac:dyDescent="0.3">
      <c r="A97" s="26" t="s">
        <v>505</v>
      </c>
      <c r="B97" s="26" t="str">
        <f t="shared" si="2"/>
        <v>Die Anforderungen des Zusatzes ECO sind</v>
      </c>
      <c r="C97" s="217" t="s">
        <v>1003</v>
      </c>
      <c r="D97" s="217" t="s">
        <v>1004</v>
      </c>
      <c r="E97" s="217" t="s">
        <v>1005</v>
      </c>
      <c r="F97" s="217" t="s">
        <v>1006</v>
      </c>
    </row>
    <row r="99" spans="1:6" x14ac:dyDescent="0.3">
      <c r="A99" s="37" t="s">
        <v>805</v>
      </c>
      <c r="B99" s="37"/>
      <c r="C99" s="37"/>
      <c r="D99" s="37"/>
      <c r="E99" s="37"/>
      <c r="F99" s="37"/>
    </row>
    <row r="100" spans="1:6" x14ac:dyDescent="0.3">
      <c r="A100" s="37" t="s">
        <v>162</v>
      </c>
      <c r="B100" s="37" t="s">
        <v>163</v>
      </c>
      <c r="C100" s="37" t="str">
        <f>C$4</f>
        <v>Deutsch</v>
      </c>
      <c r="D100" s="37" t="str">
        <f>D$4</f>
        <v>Francais</v>
      </c>
      <c r="E100" s="37" t="str">
        <f>E$4</f>
        <v>Italiano</v>
      </c>
      <c r="F100" s="37" t="str">
        <f>F$4</f>
        <v>English</v>
      </c>
    </row>
    <row r="101" spans="1:6" x14ac:dyDescent="0.3">
      <c r="A101" s="26" t="s">
        <v>165</v>
      </c>
      <c r="B101" s="26" t="str">
        <f t="shared" ref="B101:B125" si="3">INDEX($C101:$F101,1,MATCH(Sprachwahl,ListSprache,0))</f>
        <v>Typische Räume und Ausblick</v>
      </c>
      <c r="C101" s="26" t="s">
        <v>827</v>
      </c>
      <c r="D101" s="217" t="s">
        <v>961</v>
      </c>
      <c r="E101" s="26" t="s">
        <v>829</v>
      </c>
      <c r="F101" s="26" t="s">
        <v>828</v>
      </c>
    </row>
    <row r="102" spans="1:6" x14ac:dyDescent="0.3">
      <c r="A102" s="26" t="s">
        <v>183</v>
      </c>
      <c r="B102" s="26" t="str">
        <f t="shared" si="3"/>
        <v>Typische Räume</v>
      </c>
      <c r="C102" s="26" t="s">
        <v>7</v>
      </c>
      <c r="D102" s="26" t="s">
        <v>226</v>
      </c>
      <c r="E102" s="26" t="s">
        <v>311</v>
      </c>
      <c r="F102" s="26" t="s">
        <v>348</v>
      </c>
    </row>
    <row r="103" spans="1:6" x14ac:dyDescent="0.3">
      <c r="A103" s="26" t="s">
        <v>843</v>
      </c>
      <c r="B103" s="26" t="str">
        <f t="shared" si="3"/>
        <v>Raumdaten</v>
      </c>
      <c r="C103" s="26" t="s">
        <v>64</v>
      </c>
      <c r="D103" s="26" t="s">
        <v>232</v>
      </c>
      <c r="E103" s="26" t="s">
        <v>312</v>
      </c>
      <c r="F103" s="26" t="s">
        <v>350</v>
      </c>
    </row>
    <row r="104" spans="1:6" x14ac:dyDescent="0.3">
      <c r="A104" s="26" t="s">
        <v>739</v>
      </c>
      <c r="B104" s="26" t="str">
        <f t="shared" si="3"/>
        <v>Res.</v>
      </c>
      <c r="C104" s="26" t="s">
        <v>738</v>
      </c>
      <c r="D104" s="26" t="s">
        <v>740</v>
      </c>
      <c r="E104" s="26" t="s">
        <v>741</v>
      </c>
      <c r="F104" s="26" t="s">
        <v>738</v>
      </c>
    </row>
    <row r="105" spans="1:6" x14ac:dyDescent="0.3">
      <c r="A105" s="26" t="s">
        <v>191</v>
      </c>
      <c r="B105" s="26" t="str">
        <f t="shared" si="3"/>
        <v>Nr.</v>
      </c>
      <c r="C105" s="26" t="s">
        <v>48</v>
      </c>
      <c r="D105" s="26" t="s">
        <v>48</v>
      </c>
      <c r="E105" s="26" t="s">
        <v>48</v>
      </c>
      <c r="F105" s="26" t="s">
        <v>349</v>
      </c>
    </row>
    <row r="106" spans="1:6" x14ac:dyDescent="0.3">
      <c r="A106" s="26" t="s">
        <v>174</v>
      </c>
      <c r="B106" s="26" t="str">
        <f t="shared" si="3"/>
        <v>Raumbezeichnung
-</v>
      </c>
      <c r="C106" s="26" t="s">
        <v>647</v>
      </c>
      <c r="D106" s="217" t="s">
        <v>955</v>
      </c>
      <c r="E106" s="26" t="s">
        <v>648</v>
      </c>
      <c r="F106" s="26" t="s">
        <v>649</v>
      </c>
    </row>
    <row r="107" spans="1:6" ht="24.9" x14ac:dyDescent="0.3">
      <c r="A107" s="26" t="s">
        <v>175</v>
      </c>
      <c r="B107" s="214" t="str">
        <f t="shared" si="3"/>
        <v>Tiefe genutzter Bereich
m</v>
      </c>
      <c r="C107" s="214" t="s">
        <v>962</v>
      </c>
      <c r="D107" s="217" t="s">
        <v>963</v>
      </c>
      <c r="E107" s="214" t="s">
        <v>831</v>
      </c>
      <c r="F107" s="214" t="s">
        <v>833</v>
      </c>
    </row>
    <row r="108" spans="1:6" x14ac:dyDescent="0.3">
      <c r="A108" s="26" t="s">
        <v>176</v>
      </c>
      <c r="B108" s="26" t="str">
        <f t="shared" si="3"/>
        <v>Sichtweite
m</v>
      </c>
      <c r="C108" s="26" t="s">
        <v>802</v>
      </c>
      <c r="D108" s="217" t="s">
        <v>964</v>
      </c>
      <c r="E108" s="26" t="s">
        <v>836</v>
      </c>
      <c r="F108" s="26" t="s">
        <v>837</v>
      </c>
    </row>
    <row r="109" spans="1:6" x14ac:dyDescent="0.3">
      <c r="A109" s="26" t="s">
        <v>177</v>
      </c>
      <c r="B109" s="26" t="str">
        <f t="shared" si="3"/>
        <v>Sichtebenen
-</v>
      </c>
      <c r="C109" s="26" t="s">
        <v>791</v>
      </c>
      <c r="D109" s="217" t="s">
        <v>965</v>
      </c>
      <c r="E109" s="26" t="s">
        <v>838</v>
      </c>
      <c r="F109" s="26" t="s">
        <v>839</v>
      </c>
    </row>
    <row r="110" spans="1:6" x14ac:dyDescent="0.3">
      <c r="A110" s="26" t="s">
        <v>179</v>
      </c>
      <c r="B110" s="26" t="str">
        <f t="shared" si="3"/>
        <v>Resultat
-</v>
      </c>
      <c r="C110" s="26" t="s">
        <v>844</v>
      </c>
      <c r="D110" s="26" t="s">
        <v>845</v>
      </c>
      <c r="E110" s="26" t="s">
        <v>846</v>
      </c>
      <c r="F110" s="26" t="s">
        <v>847</v>
      </c>
    </row>
    <row r="111" spans="1:6" x14ac:dyDescent="0.3">
      <c r="A111" s="26" t="s">
        <v>180</v>
      </c>
      <c r="B111" s="26" t="str">
        <f t="shared" si="3"/>
        <v>Resultat
Pt.</v>
      </c>
      <c r="C111" s="26" t="s">
        <v>858</v>
      </c>
      <c r="D111" s="26" t="s">
        <v>859</v>
      </c>
      <c r="E111" s="26" t="s">
        <v>860</v>
      </c>
      <c r="F111" s="26" t="s">
        <v>861</v>
      </c>
    </row>
    <row r="112" spans="1:6" x14ac:dyDescent="0.3">
      <c r="A112" s="26" t="s">
        <v>492</v>
      </c>
      <c r="B112" s="26" t="str">
        <f t="shared" si="3"/>
        <v>Ergebnisse</v>
      </c>
      <c r="C112" s="26" t="s">
        <v>121</v>
      </c>
      <c r="D112" s="26" t="s">
        <v>239</v>
      </c>
      <c r="E112" s="26" t="s">
        <v>318</v>
      </c>
      <c r="F112" s="26" t="s">
        <v>355</v>
      </c>
    </row>
    <row r="113" spans="1:6" x14ac:dyDescent="0.3">
      <c r="A113" s="26" t="s">
        <v>853</v>
      </c>
      <c r="B113" s="26" t="str">
        <f t="shared" si="3"/>
        <v>Resultate aus diesem Blatt</v>
      </c>
      <c r="C113" s="26" t="s">
        <v>530</v>
      </c>
      <c r="D113" s="26" t="s">
        <v>483</v>
      </c>
      <c r="E113" s="26" t="s">
        <v>630</v>
      </c>
      <c r="F113" s="26" t="s">
        <v>484</v>
      </c>
    </row>
    <row r="114" spans="1:6" x14ac:dyDescent="0.3">
      <c r="A114" s="26" t="s">
        <v>850</v>
      </c>
      <c r="B114" s="26" t="str">
        <f t="shared" si="3"/>
        <v>Übertrag aus weiterem Nachw.</v>
      </c>
      <c r="C114" s="217" t="s">
        <v>957</v>
      </c>
      <c r="D114" s="217" t="s">
        <v>958</v>
      </c>
      <c r="E114" s="217" t="s">
        <v>959</v>
      </c>
      <c r="F114" s="217" t="s">
        <v>960</v>
      </c>
    </row>
    <row r="115" spans="1:6" x14ac:dyDescent="0.3">
      <c r="A115" s="26" t="s">
        <v>854</v>
      </c>
      <c r="B115" s="26" t="str">
        <f t="shared" si="3"/>
        <v>Gesamtresultat</v>
      </c>
      <c r="C115" s="26" t="s">
        <v>488</v>
      </c>
      <c r="D115" s="217" t="s">
        <v>966</v>
      </c>
      <c r="E115" s="26" t="s">
        <v>490</v>
      </c>
      <c r="F115" s="26" t="s">
        <v>491</v>
      </c>
    </row>
    <row r="116" spans="1:6" x14ac:dyDescent="0.3">
      <c r="A116" s="26" t="s">
        <v>496</v>
      </c>
      <c r="B116" s="26" t="str">
        <f t="shared" si="3"/>
        <v>Bezeichnung</v>
      </c>
      <c r="C116" s="26" t="s">
        <v>72</v>
      </c>
      <c r="D116" s="26" t="s">
        <v>485</v>
      </c>
      <c r="E116" s="26" t="s">
        <v>486</v>
      </c>
      <c r="F116" s="26" t="s">
        <v>487</v>
      </c>
    </row>
    <row r="117" spans="1:6" x14ac:dyDescent="0.3">
      <c r="A117" s="26" t="s">
        <v>855</v>
      </c>
      <c r="B117" s="26" t="str">
        <f t="shared" si="3"/>
        <v>Gesamtfläche</v>
      </c>
      <c r="C117" s="26" t="s">
        <v>746</v>
      </c>
      <c r="D117" s="26" t="s">
        <v>477</v>
      </c>
      <c r="E117" s="26" t="s">
        <v>747</v>
      </c>
      <c r="F117" s="26" t="s">
        <v>476</v>
      </c>
    </row>
    <row r="118" spans="1:6" x14ac:dyDescent="0.3">
      <c r="A118" s="26" t="s">
        <v>856</v>
      </c>
      <c r="B118" s="26" t="str">
        <f t="shared" si="3"/>
        <v>Resultat</v>
      </c>
      <c r="C118" s="26" t="s">
        <v>478</v>
      </c>
      <c r="D118" s="26" t="s">
        <v>479</v>
      </c>
      <c r="E118" s="26" t="s">
        <v>480</v>
      </c>
      <c r="F118" s="26" t="s">
        <v>481</v>
      </c>
    </row>
    <row r="119" spans="1:6" x14ac:dyDescent="0.3">
      <c r="A119" s="26" t="s">
        <v>851</v>
      </c>
      <c r="B119" s="26" t="str">
        <f t="shared" si="3"/>
        <v>Gesamtfläche</v>
      </c>
      <c r="C119" s="26" t="s">
        <v>746</v>
      </c>
      <c r="D119" s="26" t="s">
        <v>477</v>
      </c>
      <c r="E119" s="26" t="s">
        <v>747</v>
      </c>
      <c r="F119" s="26" t="s">
        <v>476</v>
      </c>
    </row>
    <row r="120" spans="1:6" x14ac:dyDescent="0.3">
      <c r="A120" s="26" t="s">
        <v>852</v>
      </c>
      <c r="B120" s="26" t="str">
        <f t="shared" si="3"/>
        <v>Gesamtfläche</v>
      </c>
      <c r="C120" s="26" t="s">
        <v>746</v>
      </c>
      <c r="D120" s="26" t="s">
        <v>477</v>
      </c>
      <c r="E120" s="26" t="s">
        <v>747</v>
      </c>
      <c r="F120" s="26" t="s">
        <v>476</v>
      </c>
    </row>
    <row r="121" spans="1:6" x14ac:dyDescent="0.3">
      <c r="A121" s="26" t="s">
        <v>497</v>
      </c>
      <c r="B121" s="26" t="str">
        <f t="shared" si="3"/>
        <v>Resultat</v>
      </c>
      <c r="C121" s="26" t="s">
        <v>478</v>
      </c>
      <c r="D121" s="26" t="s">
        <v>479</v>
      </c>
      <c r="E121" s="26" t="s">
        <v>480</v>
      </c>
      <c r="F121" s="26" t="s">
        <v>481</v>
      </c>
    </row>
    <row r="122" spans="1:6" x14ac:dyDescent="0.3">
      <c r="A122" s="26" t="s">
        <v>498</v>
      </c>
      <c r="B122" s="26" t="str">
        <f t="shared" si="3"/>
        <v>Resultat</v>
      </c>
      <c r="C122" s="26" t="s">
        <v>478</v>
      </c>
      <c r="D122" s="26" t="s">
        <v>479</v>
      </c>
      <c r="E122" s="26" t="s">
        <v>480</v>
      </c>
      <c r="F122" s="26" t="s">
        <v>481</v>
      </c>
    </row>
    <row r="123" spans="1:6" x14ac:dyDescent="0.3">
      <c r="A123" s="26" t="s">
        <v>503</v>
      </c>
      <c r="B123" s="26" t="str">
        <f t="shared" si="3"/>
        <v>Qualität des Ausblicks (über alle Räume)</v>
      </c>
      <c r="C123" s="26" t="s">
        <v>840</v>
      </c>
      <c r="D123" s="217" t="s">
        <v>967</v>
      </c>
      <c r="E123" s="26" t="s">
        <v>841</v>
      </c>
      <c r="F123" s="26" t="s">
        <v>842</v>
      </c>
    </row>
    <row r="124" spans="1:6" x14ac:dyDescent="0.3">
      <c r="A124" s="26" t="s">
        <v>504</v>
      </c>
      <c r="B124" s="26" t="str">
        <f t="shared" si="3"/>
        <v>Anteil der Raumfläche mit ungenügendem Ergebnis</v>
      </c>
      <c r="C124" s="259" t="s">
        <v>1102</v>
      </c>
      <c r="D124" s="259" t="s">
        <v>1103</v>
      </c>
      <c r="E124" s="259" t="s">
        <v>1104</v>
      </c>
      <c r="F124" s="259" t="s">
        <v>1105</v>
      </c>
    </row>
    <row r="125" spans="1:6" x14ac:dyDescent="0.3">
      <c r="A125" s="26" t="s">
        <v>505</v>
      </c>
      <c r="B125" s="26" t="str">
        <f t="shared" si="3"/>
        <v>Die Anforderungen des Zusatzes ECO sind</v>
      </c>
      <c r="C125" s="217" t="s">
        <v>1003</v>
      </c>
      <c r="D125" s="217" t="s">
        <v>1004</v>
      </c>
      <c r="E125" s="217" t="s">
        <v>1005</v>
      </c>
      <c r="F125" s="217" t="s">
        <v>1006</v>
      </c>
    </row>
    <row r="127" spans="1:6" x14ac:dyDescent="0.3">
      <c r="A127" s="37" t="s">
        <v>1013</v>
      </c>
      <c r="B127" s="37"/>
      <c r="C127" s="37"/>
      <c r="D127" s="37"/>
      <c r="E127" s="37"/>
      <c r="F127" s="37"/>
    </row>
    <row r="128" spans="1:6" x14ac:dyDescent="0.3">
      <c r="A128" s="37" t="s">
        <v>162</v>
      </c>
      <c r="B128" s="37" t="s">
        <v>163</v>
      </c>
      <c r="C128" s="37" t="str">
        <f>C$4</f>
        <v>Deutsch</v>
      </c>
      <c r="D128" s="37" t="str">
        <f>D$4</f>
        <v>Francais</v>
      </c>
      <c r="E128" s="37" t="str">
        <f>E$4</f>
        <v>Italiano</v>
      </c>
      <c r="F128" s="37" t="str">
        <f>F$4</f>
        <v>English</v>
      </c>
    </row>
    <row r="129" spans="1:6" x14ac:dyDescent="0.3">
      <c r="A129" s="26" t="s">
        <v>165</v>
      </c>
      <c r="B129" s="26" t="str">
        <f t="shared" ref="B129:B147" si="4">INDEX($C129:$F129,1,MATCH(Sprachwahl,ListSprache,0))</f>
        <v>Fragenkatalog Erneuerung</v>
      </c>
      <c r="C129" s="217" t="s">
        <v>968</v>
      </c>
      <c r="D129" s="26" t="s">
        <v>969</v>
      </c>
      <c r="E129" s="26" t="s">
        <v>356</v>
      </c>
      <c r="F129" s="26" t="s">
        <v>970</v>
      </c>
    </row>
    <row r="130" spans="1:6" x14ac:dyDescent="0.3">
      <c r="A130" s="26" t="s">
        <v>164</v>
      </c>
      <c r="B130" s="26" t="str">
        <f t="shared" si="4"/>
        <v>Fragen</v>
      </c>
      <c r="C130" s="26" t="s">
        <v>49</v>
      </c>
      <c r="D130" s="26" t="s">
        <v>240</v>
      </c>
      <c r="E130" s="26" t="s">
        <v>357</v>
      </c>
      <c r="F130" s="26" t="s">
        <v>370</v>
      </c>
    </row>
    <row r="131" spans="1:6" x14ac:dyDescent="0.3">
      <c r="A131" s="26" t="s">
        <v>200</v>
      </c>
      <c r="B131" s="26" t="str">
        <f t="shared" si="4"/>
        <v>Antwort</v>
      </c>
      <c r="C131" s="26" t="s">
        <v>50</v>
      </c>
      <c r="D131" s="26" t="s">
        <v>241</v>
      </c>
      <c r="E131" s="26" t="s">
        <v>358</v>
      </c>
      <c r="F131" s="26" t="s">
        <v>371</v>
      </c>
    </row>
    <row r="132" spans="1:6" x14ac:dyDescent="0.3">
      <c r="A132" s="26" t="s">
        <v>166</v>
      </c>
      <c r="B132" s="26" t="str">
        <f t="shared" si="4"/>
        <v>Werden die Fensteröffnungen grundsätzlich beibehalten oder vergrössert?</v>
      </c>
      <c r="C132" s="26" t="s">
        <v>53</v>
      </c>
      <c r="D132" s="26" t="s">
        <v>971</v>
      </c>
      <c r="E132" s="26" t="s">
        <v>359</v>
      </c>
      <c r="F132" s="26" t="s">
        <v>372</v>
      </c>
    </row>
    <row r="133" spans="1:6" x14ac:dyDescent="0.3">
      <c r="A133" s="26" t="s">
        <v>201</v>
      </c>
      <c r="B133" s="26" t="str">
        <f t="shared" si="4"/>
        <v>Werden die Glasflächen grundsätzlich beibehalten oder vergrössert?</v>
      </c>
      <c r="C133" s="26" t="s">
        <v>54</v>
      </c>
      <c r="D133" s="26" t="s">
        <v>972</v>
      </c>
      <c r="E133" s="26" t="s">
        <v>360</v>
      </c>
      <c r="F133" s="26" t="s">
        <v>373</v>
      </c>
    </row>
    <row r="134" spans="1:6" x14ac:dyDescent="0.3">
      <c r="A134" s="26" t="s">
        <v>202</v>
      </c>
      <c r="B134" s="26" t="str">
        <f t="shared" si="4"/>
        <v>Wurde bei der Wahl der Verglasung auf einen hohen Tageslicht-Transmissionsgrad (Tau ≥ 70%) geachtet?</v>
      </c>
      <c r="C134" s="26" t="s">
        <v>912</v>
      </c>
      <c r="D134" s="217" t="s">
        <v>973</v>
      </c>
      <c r="E134" s="26" t="s">
        <v>913</v>
      </c>
      <c r="F134" s="26" t="s">
        <v>374</v>
      </c>
    </row>
    <row r="135" spans="1:6" x14ac:dyDescent="0.3">
      <c r="A135" s="26" t="s">
        <v>168</v>
      </c>
      <c r="B135" s="26" t="str">
        <f t="shared" si="4"/>
        <v>Werden keine Elemente (z.B. Balkone, Vordächer) an die Fassade gebaut, welche den Tageslichteinfall verschlechtert?</v>
      </c>
      <c r="C135" s="26" t="s">
        <v>57</v>
      </c>
      <c r="D135" s="26" t="s">
        <v>974</v>
      </c>
      <c r="E135" s="26" t="s">
        <v>781</v>
      </c>
      <c r="F135" s="26" t="s">
        <v>375</v>
      </c>
    </row>
    <row r="136" spans="1:6" x14ac:dyDescent="0.3">
      <c r="A136" s="26" t="s">
        <v>203</v>
      </c>
      <c r="B136" s="26" t="str">
        <f t="shared" si="4"/>
        <v>Wurden die Räume grundsätzlich (mind. Decken und Wände) mit heller Farben gestrichen?</v>
      </c>
      <c r="C136" s="26" t="s">
        <v>55</v>
      </c>
      <c r="D136" s="26" t="s">
        <v>975</v>
      </c>
      <c r="E136" s="26" t="s">
        <v>361</v>
      </c>
      <c r="F136" s="26" t="s">
        <v>376</v>
      </c>
    </row>
    <row r="137" spans="1:6" x14ac:dyDescent="0.3">
      <c r="A137" s="26" t="s">
        <v>169</v>
      </c>
      <c r="B137" s="26" t="str">
        <f t="shared" si="4"/>
        <v>Zusammenfassung</v>
      </c>
      <c r="C137" s="26" t="s">
        <v>1</v>
      </c>
      <c r="D137" s="26" t="s">
        <v>242</v>
      </c>
      <c r="E137" s="26" t="s">
        <v>306</v>
      </c>
      <c r="F137" s="26" t="s">
        <v>377</v>
      </c>
    </row>
    <row r="138" spans="1:6" x14ac:dyDescent="0.3">
      <c r="A138" s="26" t="s">
        <v>204</v>
      </c>
      <c r="B138" s="26" t="str">
        <f t="shared" si="4"/>
        <v>DIESES ARBEITSBLATT IST NUR BEI ERNEUERUNGSPROJEKTEN AUSZUFÜLLEN</v>
      </c>
      <c r="C138" s="26" t="s">
        <v>976</v>
      </c>
      <c r="D138" s="26" t="s">
        <v>243</v>
      </c>
      <c r="E138" s="26" t="s">
        <v>362</v>
      </c>
      <c r="F138" s="26" t="s">
        <v>378</v>
      </c>
    </row>
    <row r="139" spans="1:6" x14ac:dyDescent="0.3">
      <c r="A139" s="26" t="s">
        <v>204</v>
      </c>
      <c r="B139" s="26" t="str">
        <f t="shared" si="4"/>
        <v>Die Anforderungen des Zusatzes ECO an Erneuerungen sind erfüllt. Es wird automatisch ein Tageslichterfüllungsgrad von 50% angenommen (genügend).</v>
      </c>
      <c r="C139" s="217" t="s">
        <v>1139</v>
      </c>
      <c r="D139" s="217" t="s">
        <v>1140</v>
      </c>
      <c r="E139" s="217" t="s">
        <v>1141</v>
      </c>
      <c r="F139" s="217" t="s">
        <v>1142</v>
      </c>
    </row>
    <row r="140" spans="1:6" x14ac:dyDescent="0.3">
      <c r="A140" s="26" t="s">
        <v>204</v>
      </c>
      <c r="B140" s="26" t="str">
        <f t="shared" si="4"/>
        <v>Bitte füllen Sie das Arbeitsblatt 'Tageslicht' für den Zustand nach der Erneuerung aus und bestimmen sie eine Gebäudekategorie die ihrem Gebäude am nächsten kommt:</v>
      </c>
      <c r="C140" s="26" t="s">
        <v>977</v>
      </c>
      <c r="D140" s="26" t="s">
        <v>978</v>
      </c>
      <c r="E140" s="26" t="s">
        <v>979</v>
      </c>
      <c r="F140" s="26" t="s">
        <v>980</v>
      </c>
    </row>
    <row r="141" spans="1:6" x14ac:dyDescent="0.3">
      <c r="A141" s="26" t="s">
        <v>205</v>
      </c>
      <c r="B141" s="26" t="str">
        <f t="shared" si="4"/>
        <v>Gebäudekategorie (Auswahl durch Anklicken der entsprechenden Schaltfläche)</v>
      </c>
      <c r="C141" s="26" t="s">
        <v>748</v>
      </c>
      <c r="D141" s="26" t="s">
        <v>749</v>
      </c>
      <c r="E141" s="26" t="s">
        <v>751</v>
      </c>
      <c r="F141" s="26" t="s">
        <v>750</v>
      </c>
    </row>
    <row r="142" spans="1:6" x14ac:dyDescent="0.3">
      <c r="A142" s="26" t="s">
        <v>170</v>
      </c>
      <c r="B142" s="26" t="str">
        <f t="shared" si="4"/>
        <v>Wohnen</v>
      </c>
      <c r="C142" s="26" t="s">
        <v>31</v>
      </c>
      <c r="D142" s="26" t="s">
        <v>244</v>
      </c>
      <c r="E142" s="26" t="s">
        <v>363</v>
      </c>
      <c r="F142" s="26" t="s">
        <v>379</v>
      </c>
    </row>
    <row r="143" spans="1:6" x14ac:dyDescent="0.3">
      <c r="A143" s="26" t="s">
        <v>208</v>
      </c>
      <c r="B143" s="26" t="str">
        <f t="shared" si="4"/>
        <v>Verwaltung</v>
      </c>
      <c r="C143" s="26" t="s">
        <v>56</v>
      </c>
      <c r="D143" s="26" t="s">
        <v>245</v>
      </c>
      <c r="E143" s="26" t="s">
        <v>364</v>
      </c>
      <c r="F143" s="26" t="s">
        <v>380</v>
      </c>
    </row>
    <row r="144" spans="1:6" x14ac:dyDescent="0.3">
      <c r="A144" s="26" t="s">
        <v>209</v>
      </c>
      <c r="B144" s="26" t="str">
        <f t="shared" si="4"/>
        <v>Schule</v>
      </c>
      <c r="C144" s="26" t="s">
        <v>15</v>
      </c>
      <c r="D144" s="26" t="s">
        <v>246</v>
      </c>
      <c r="E144" s="26" t="s">
        <v>365</v>
      </c>
      <c r="F144" s="26" t="s">
        <v>381</v>
      </c>
    </row>
    <row r="145" spans="1:6" x14ac:dyDescent="0.3">
      <c r="A145" s="26" t="s">
        <v>210</v>
      </c>
      <c r="B145" s="26" t="str">
        <f t="shared" si="4"/>
        <v>Gebäude mit einem eher kleinen Anteil Fenster- an Fassadenfläche</v>
      </c>
      <c r="C145" s="26" t="s">
        <v>58</v>
      </c>
      <c r="D145" s="26" t="s">
        <v>247</v>
      </c>
      <c r="E145" s="26" t="s">
        <v>366</v>
      </c>
      <c r="F145" s="26" t="s">
        <v>382</v>
      </c>
    </row>
    <row r="146" spans="1:6" x14ac:dyDescent="0.3">
      <c r="A146" s="26" t="s">
        <v>211</v>
      </c>
      <c r="B146" s="26" t="str">
        <f t="shared" si="4"/>
        <v>Gebäude mit einem mittleren Anteil Fenster- an Fassadenfläche</v>
      </c>
      <c r="C146" s="26" t="s">
        <v>59</v>
      </c>
      <c r="D146" s="217" t="s">
        <v>981</v>
      </c>
      <c r="E146" s="26" t="s">
        <v>367</v>
      </c>
      <c r="F146" s="26" t="s">
        <v>383</v>
      </c>
    </row>
    <row r="147" spans="1:6" x14ac:dyDescent="0.3">
      <c r="A147" s="26" t="s">
        <v>212</v>
      </c>
      <c r="B147" s="26" t="str">
        <f t="shared" si="4"/>
        <v>Gebäude mit einem grossen Anteil Fenster- an Fassadenfläche</v>
      </c>
      <c r="C147" s="26" t="s">
        <v>60</v>
      </c>
      <c r="D147" s="26" t="s">
        <v>248</v>
      </c>
      <c r="E147" s="26" t="s">
        <v>368</v>
      </c>
      <c r="F147" s="26" t="s">
        <v>384</v>
      </c>
    </row>
    <row r="149" spans="1:6" x14ac:dyDescent="0.3">
      <c r="A149" s="37" t="s">
        <v>198</v>
      </c>
      <c r="B149" s="37"/>
      <c r="C149" s="37"/>
      <c r="D149" s="37"/>
      <c r="E149" s="37"/>
      <c r="F149" s="37"/>
    </row>
    <row r="150" spans="1:6" x14ac:dyDescent="0.3">
      <c r="A150" s="37" t="s">
        <v>162</v>
      </c>
      <c r="B150" s="37" t="s">
        <v>163</v>
      </c>
      <c r="C150" s="37" t="str">
        <f>C$4</f>
        <v>Deutsch</v>
      </c>
      <c r="D150" s="37" t="str">
        <f>D$4</f>
        <v>Francais</v>
      </c>
      <c r="E150" s="37" t="str">
        <f>E$4</f>
        <v>Italiano</v>
      </c>
      <c r="F150" s="37" t="str">
        <f>F$4</f>
        <v>English</v>
      </c>
    </row>
    <row r="151" spans="1:6" x14ac:dyDescent="0.3">
      <c r="A151" s="26" t="s">
        <v>85</v>
      </c>
      <c r="B151" s="26" t="str">
        <f t="shared" ref="B151:B184" si="5">INDEX($C151:$F151,1,MATCH(Sprachwahl,ListSprache,0))</f>
        <v>Ausstellungshalle</v>
      </c>
      <c r="C151" s="28" t="s">
        <v>17</v>
      </c>
      <c r="D151" s="28" t="s">
        <v>264</v>
      </c>
      <c r="E151" s="229" t="s">
        <v>405</v>
      </c>
      <c r="F151" s="26" t="s">
        <v>426</v>
      </c>
    </row>
    <row r="152" spans="1:6" x14ac:dyDescent="0.3">
      <c r="B152" s="26" t="str">
        <f t="shared" si="5"/>
        <v>Behandlungsraum (Spital)</v>
      </c>
      <c r="C152" s="28" t="s">
        <v>408</v>
      </c>
      <c r="D152" s="28" t="s">
        <v>265</v>
      </c>
      <c r="E152" s="229" t="s">
        <v>631</v>
      </c>
      <c r="F152" s="26" t="s">
        <v>427</v>
      </c>
    </row>
    <row r="153" spans="1:6" x14ac:dyDescent="0.3">
      <c r="B153" s="26" t="str">
        <f t="shared" si="5"/>
        <v>Bettenzimmer (Spital)</v>
      </c>
      <c r="C153" s="28" t="s">
        <v>259</v>
      </c>
      <c r="D153" s="28" t="s">
        <v>258</v>
      </c>
      <c r="E153" s="229" t="s">
        <v>406</v>
      </c>
      <c r="F153" s="26" t="s">
        <v>571</v>
      </c>
    </row>
    <row r="154" spans="1:6" x14ac:dyDescent="0.3">
      <c r="B154" s="26" t="str">
        <f t="shared" si="5"/>
        <v>Bibliothek</v>
      </c>
      <c r="C154" s="28" t="s">
        <v>89</v>
      </c>
      <c r="D154" s="28" t="s">
        <v>262</v>
      </c>
      <c r="E154" s="229" t="s">
        <v>394</v>
      </c>
      <c r="F154" s="26" t="s">
        <v>428</v>
      </c>
    </row>
    <row r="155" spans="1:6" x14ac:dyDescent="0.3">
      <c r="B155" s="26" t="str">
        <f t="shared" si="5"/>
        <v>Einzel-, Gruppenbüro</v>
      </c>
      <c r="C155" s="28" t="s">
        <v>86</v>
      </c>
      <c r="D155" s="28" t="s">
        <v>261</v>
      </c>
      <c r="E155" s="229" t="s">
        <v>388</v>
      </c>
      <c r="F155" s="26" t="s">
        <v>380</v>
      </c>
    </row>
    <row r="156" spans="1:6" x14ac:dyDescent="0.3">
      <c r="B156" s="26" t="str">
        <f t="shared" si="5"/>
        <v>Fachgeschäft</v>
      </c>
      <c r="C156" s="28" t="s">
        <v>92</v>
      </c>
      <c r="D156" s="26" t="s">
        <v>276</v>
      </c>
      <c r="E156" s="26" t="s">
        <v>413</v>
      </c>
      <c r="F156" s="26" t="s">
        <v>572</v>
      </c>
    </row>
    <row r="157" spans="1:6" x14ac:dyDescent="0.3">
      <c r="B157" s="26" t="str">
        <f t="shared" si="5"/>
        <v>Fitnessraum</v>
      </c>
      <c r="C157" s="28" t="s">
        <v>13</v>
      </c>
      <c r="D157" s="28" t="s">
        <v>266</v>
      </c>
      <c r="E157" s="26" t="s">
        <v>412</v>
      </c>
      <c r="F157" s="26" t="s">
        <v>429</v>
      </c>
    </row>
    <row r="158" spans="1:6" x14ac:dyDescent="0.3">
      <c r="B158" s="26" t="str">
        <f t="shared" si="5"/>
        <v>Grossraumbüro</v>
      </c>
      <c r="C158" s="28" t="s">
        <v>8</v>
      </c>
      <c r="D158" s="28" t="s">
        <v>267</v>
      </c>
      <c r="E158" s="229" t="s">
        <v>389</v>
      </c>
      <c r="F158" s="26" t="s">
        <v>430</v>
      </c>
    </row>
    <row r="159" spans="1:6" x14ac:dyDescent="0.3">
      <c r="B159" s="26" t="str">
        <f t="shared" si="5"/>
        <v>Hörsaal</v>
      </c>
      <c r="C159" s="28" t="s">
        <v>0</v>
      </c>
      <c r="D159" s="28" t="s">
        <v>268</v>
      </c>
      <c r="E159" s="229" t="s">
        <v>395</v>
      </c>
      <c r="F159" s="26" t="s">
        <v>431</v>
      </c>
    </row>
    <row r="160" spans="1:6" x14ac:dyDescent="0.3">
      <c r="B160" s="26" t="str">
        <f t="shared" si="5"/>
        <v>Hotel-Empfang/Lobby</v>
      </c>
      <c r="C160" s="27" t="s">
        <v>14</v>
      </c>
      <c r="D160" s="27" t="s">
        <v>260</v>
      </c>
      <c r="E160" s="230" t="s">
        <v>386</v>
      </c>
      <c r="F160" s="26" t="s">
        <v>432</v>
      </c>
    </row>
    <row r="161" spans="2:6" x14ac:dyDescent="0.3">
      <c r="B161" s="26" t="str">
        <f t="shared" si="5"/>
        <v>Hotelzimmer</v>
      </c>
      <c r="C161" s="27" t="s">
        <v>30</v>
      </c>
      <c r="D161" s="27" t="s">
        <v>254</v>
      </c>
      <c r="E161" s="230" t="s">
        <v>387</v>
      </c>
      <c r="F161" s="26" t="s">
        <v>433</v>
      </c>
    </row>
    <row r="162" spans="2:6" x14ac:dyDescent="0.3">
      <c r="B162" s="26" t="str">
        <f t="shared" si="5"/>
        <v>Küche SB-Restaurant</v>
      </c>
      <c r="C162" s="28" t="s">
        <v>28</v>
      </c>
      <c r="D162" s="28" t="s">
        <v>255</v>
      </c>
      <c r="E162" s="229" t="s">
        <v>402</v>
      </c>
      <c r="F162" s="26" t="s">
        <v>434</v>
      </c>
    </row>
    <row r="163" spans="2:6" x14ac:dyDescent="0.3">
      <c r="B163" s="26" t="str">
        <f t="shared" si="5"/>
        <v>Küche zu Restaurant</v>
      </c>
      <c r="C163" s="28" t="s">
        <v>27</v>
      </c>
      <c r="D163" s="28" t="s">
        <v>256</v>
      </c>
      <c r="E163" s="229" t="s">
        <v>401</v>
      </c>
      <c r="F163" s="26" t="s">
        <v>435</v>
      </c>
    </row>
    <row r="164" spans="2:6" x14ac:dyDescent="0.3">
      <c r="B164" s="26" t="str">
        <f t="shared" si="5"/>
        <v>Küche, Teeküche</v>
      </c>
      <c r="C164" s="26" t="s">
        <v>95</v>
      </c>
      <c r="D164" s="26" t="s">
        <v>280</v>
      </c>
      <c r="E164" s="26" t="s">
        <v>414</v>
      </c>
      <c r="F164" s="26" t="s">
        <v>436</v>
      </c>
    </row>
    <row r="165" spans="2:6" x14ac:dyDescent="0.3">
      <c r="B165" s="26" t="str">
        <f t="shared" si="5"/>
        <v>Laborraum</v>
      </c>
      <c r="C165" s="26" t="s">
        <v>94</v>
      </c>
      <c r="D165" s="26" t="s">
        <v>279</v>
      </c>
      <c r="E165" s="26" t="s">
        <v>411</v>
      </c>
      <c r="F165" s="26" t="s">
        <v>437</v>
      </c>
    </row>
    <row r="166" spans="2:6" x14ac:dyDescent="0.3">
      <c r="B166" s="26" t="str">
        <f t="shared" si="5"/>
        <v>Lebensmittelverkauf</v>
      </c>
      <c r="C166" s="28" t="s">
        <v>91</v>
      </c>
      <c r="D166" s="26" t="s">
        <v>275</v>
      </c>
      <c r="E166" s="26" t="s">
        <v>397</v>
      </c>
      <c r="F166" s="26" t="s">
        <v>438</v>
      </c>
    </row>
    <row r="167" spans="2:6" x14ac:dyDescent="0.3">
      <c r="B167" s="26" t="str">
        <f t="shared" si="5"/>
        <v>Lehrerzimmer</v>
      </c>
      <c r="C167" s="28" t="s">
        <v>88</v>
      </c>
      <c r="D167" s="28" t="s">
        <v>1011</v>
      </c>
      <c r="E167" s="229" t="s">
        <v>392</v>
      </c>
      <c r="F167" s="26" t="s">
        <v>439</v>
      </c>
    </row>
    <row r="168" spans="2:6" x14ac:dyDescent="0.3">
      <c r="B168" s="26" t="str">
        <f t="shared" si="5"/>
        <v>Mehrzweckhalle</v>
      </c>
      <c r="C168" s="28" t="s">
        <v>16</v>
      </c>
      <c r="D168" s="26" t="s">
        <v>277</v>
      </c>
      <c r="E168" s="229" t="s">
        <v>404</v>
      </c>
      <c r="F168" s="26" t="s">
        <v>573</v>
      </c>
    </row>
    <row r="169" spans="2:6" x14ac:dyDescent="0.3">
      <c r="B169" s="26" t="str">
        <f t="shared" si="5"/>
        <v>Produktion (feine Arbeit)</v>
      </c>
      <c r="C169" s="28" t="s">
        <v>20</v>
      </c>
      <c r="D169" s="28" t="s">
        <v>269</v>
      </c>
      <c r="E169" s="229" t="s">
        <v>410</v>
      </c>
      <c r="F169" s="26" t="s">
        <v>440</v>
      </c>
    </row>
    <row r="170" spans="2:6" x14ac:dyDescent="0.3">
      <c r="B170" s="26" t="str">
        <f t="shared" si="5"/>
        <v>Produktion (grobe Arbeit)</v>
      </c>
      <c r="C170" s="28" t="s">
        <v>19</v>
      </c>
      <c r="D170" s="28" t="s">
        <v>270</v>
      </c>
      <c r="E170" s="229" t="s">
        <v>409</v>
      </c>
      <c r="F170" s="26" t="s">
        <v>441</v>
      </c>
    </row>
    <row r="171" spans="2:6" x14ac:dyDescent="0.3">
      <c r="B171" s="26" t="str">
        <f t="shared" si="5"/>
        <v>Restaurant</v>
      </c>
      <c r="C171" s="28" t="s">
        <v>11</v>
      </c>
      <c r="D171" s="28" t="s">
        <v>11</v>
      </c>
      <c r="E171" s="26" t="s">
        <v>399</v>
      </c>
      <c r="F171" s="26" t="s">
        <v>11</v>
      </c>
    </row>
    <row r="172" spans="2:6" x14ac:dyDescent="0.3">
      <c r="B172" s="26" t="str">
        <f t="shared" si="5"/>
        <v>Schalterhalle, Empfang</v>
      </c>
      <c r="C172" s="28" t="s">
        <v>87</v>
      </c>
      <c r="D172" s="28" t="s">
        <v>271</v>
      </c>
      <c r="E172" s="229" t="s">
        <v>391</v>
      </c>
      <c r="F172" s="26" t="s">
        <v>574</v>
      </c>
    </row>
    <row r="173" spans="2:6" x14ac:dyDescent="0.3">
      <c r="B173" s="26" t="str">
        <f t="shared" si="5"/>
        <v>Schulfachraum</v>
      </c>
      <c r="C173" s="28" t="s">
        <v>90</v>
      </c>
      <c r="D173" s="28" t="s">
        <v>272</v>
      </c>
      <c r="E173" s="229" t="s">
        <v>396</v>
      </c>
      <c r="F173" s="26" t="s">
        <v>575</v>
      </c>
    </row>
    <row r="174" spans="2:6" x14ac:dyDescent="0.3">
      <c r="B174" s="26" t="str">
        <f t="shared" si="5"/>
        <v>Schulzimmer</v>
      </c>
      <c r="C174" s="28" t="s">
        <v>10</v>
      </c>
      <c r="D174" s="28" t="s">
        <v>263</v>
      </c>
      <c r="E174" s="229" t="s">
        <v>393</v>
      </c>
      <c r="F174" s="26" t="s">
        <v>442</v>
      </c>
    </row>
    <row r="175" spans="2:6" x14ac:dyDescent="0.3">
      <c r="B175" s="26" t="str">
        <f t="shared" si="5"/>
        <v>Schwimmhalle (oberirdisch)</v>
      </c>
      <c r="C175" s="229" t="s">
        <v>923</v>
      </c>
      <c r="D175" s="229" t="s">
        <v>924</v>
      </c>
      <c r="E175" s="26" t="s">
        <v>925</v>
      </c>
      <c r="F175" s="26" t="s">
        <v>926</v>
      </c>
    </row>
    <row r="176" spans="2:6" x14ac:dyDescent="0.3">
      <c r="B176" s="26" t="str">
        <f t="shared" si="5"/>
        <v>Schwimmhalle (unterirdisch)</v>
      </c>
      <c r="C176" s="229" t="s">
        <v>927</v>
      </c>
      <c r="D176" s="229" t="s">
        <v>928</v>
      </c>
      <c r="E176" s="26" t="s">
        <v>929</v>
      </c>
      <c r="F176" s="26" t="s">
        <v>930</v>
      </c>
    </row>
    <row r="177" spans="1:6" x14ac:dyDescent="0.3">
      <c r="B177" s="26" t="str">
        <f t="shared" si="5"/>
        <v>Selbstbedienungsrestaurant</v>
      </c>
      <c r="C177" s="28" t="s">
        <v>12</v>
      </c>
      <c r="D177" s="28" t="s">
        <v>257</v>
      </c>
      <c r="E177" s="229" t="s">
        <v>400</v>
      </c>
      <c r="F177" s="26" t="s">
        <v>443</v>
      </c>
    </row>
    <row r="178" spans="1:6" x14ac:dyDescent="0.3">
      <c r="B178" s="26" t="str">
        <f t="shared" si="5"/>
        <v>Sitzungszimmer</v>
      </c>
      <c r="C178" s="28" t="s">
        <v>9</v>
      </c>
      <c r="D178" s="28" t="s">
        <v>273</v>
      </c>
      <c r="E178" s="229" t="s">
        <v>390</v>
      </c>
      <c r="F178" s="26" t="s">
        <v>444</v>
      </c>
    </row>
    <row r="179" spans="1:6" x14ac:dyDescent="0.3">
      <c r="B179" s="26" t="str">
        <f t="shared" si="5"/>
        <v xml:space="preserve">Stationszimmer </v>
      </c>
      <c r="C179" s="28" t="s">
        <v>18</v>
      </c>
      <c r="D179" s="28" t="s">
        <v>274</v>
      </c>
      <c r="E179" s="229" t="s">
        <v>407</v>
      </c>
      <c r="F179" s="26" t="s">
        <v>576</v>
      </c>
    </row>
    <row r="180" spans="1:6" x14ac:dyDescent="0.3">
      <c r="B180" s="26" t="str">
        <f t="shared" si="5"/>
        <v>Turnhalle (oberirdisch)</v>
      </c>
      <c r="C180" s="28" t="s">
        <v>915</v>
      </c>
      <c r="D180" s="229" t="s">
        <v>917</v>
      </c>
      <c r="E180" s="26" t="s">
        <v>918</v>
      </c>
      <c r="F180" s="26" t="s">
        <v>919</v>
      </c>
    </row>
    <row r="181" spans="1:6" x14ac:dyDescent="0.3">
      <c r="B181" s="26" t="str">
        <f t="shared" si="5"/>
        <v>Turnhalle (unterirdisch)</v>
      </c>
      <c r="C181" s="28" t="s">
        <v>916</v>
      </c>
      <c r="D181" s="229" t="s">
        <v>920</v>
      </c>
      <c r="E181" s="26" t="s">
        <v>921</v>
      </c>
      <c r="F181" s="26" t="s">
        <v>922</v>
      </c>
    </row>
    <row r="182" spans="1:6" x14ac:dyDescent="0.3">
      <c r="B182" s="26" t="str">
        <f t="shared" si="5"/>
        <v>Verkauf Möbel, Bau, Garten</v>
      </c>
      <c r="C182" s="28" t="s">
        <v>93</v>
      </c>
      <c r="D182" s="26" t="s">
        <v>278</v>
      </c>
      <c r="E182" s="229" t="s">
        <v>398</v>
      </c>
      <c r="F182" s="26" t="s">
        <v>577</v>
      </c>
    </row>
    <row r="183" spans="1:6" x14ac:dyDescent="0.3">
      <c r="B183" s="26" t="str">
        <f t="shared" si="5"/>
        <v>Vorstellungsraum</v>
      </c>
      <c r="C183" s="28" t="s">
        <v>29</v>
      </c>
      <c r="D183" s="26" t="s">
        <v>281</v>
      </c>
      <c r="E183" s="229" t="s">
        <v>403</v>
      </c>
      <c r="F183" s="26" t="s">
        <v>578</v>
      </c>
    </row>
    <row r="184" spans="1:6" x14ac:dyDescent="0.3">
      <c r="B184" s="26" t="str">
        <f t="shared" si="5"/>
        <v>Wohn-, Schlafzimmer</v>
      </c>
      <c r="C184" s="27" t="s">
        <v>99</v>
      </c>
      <c r="D184" s="27" t="s">
        <v>253</v>
      </c>
      <c r="E184" s="26" t="s">
        <v>385</v>
      </c>
      <c r="F184" s="26" t="s">
        <v>579</v>
      </c>
    </row>
    <row r="186" spans="1:6" x14ac:dyDescent="0.3">
      <c r="A186" s="26" t="s">
        <v>113</v>
      </c>
      <c r="B186" s="26" t="str">
        <f>INDEX($C186:$F186,1,MATCH(Sprachwahl,ListSprache,0))</f>
        <v>Hell</v>
      </c>
      <c r="C186" s="26" t="s">
        <v>114</v>
      </c>
      <c r="D186" s="26" t="s">
        <v>282</v>
      </c>
      <c r="E186" s="26" t="s">
        <v>415</v>
      </c>
      <c r="F186" s="26" t="s">
        <v>445</v>
      </c>
    </row>
    <row r="187" spans="1:6" x14ac:dyDescent="0.3">
      <c r="B187" s="26" t="str">
        <f>INDEX($C187:$F187,1,MATCH(Sprachwahl,ListSprache,0))</f>
        <v>Normal</v>
      </c>
      <c r="C187" s="26" t="s">
        <v>116</v>
      </c>
      <c r="D187" s="26" t="s">
        <v>21</v>
      </c>
      <c r="E187" s="26" t="s">
        <v>416</v>
      </c>
      <c r="F187" s="26" t="s">
        <v>21</v>
      </c>
    </row>
    <row r="188" spans="1:6" x14ac:dyDescent="0.3">
      <c r="B188" s="26" t="str">
        <f>INDEX($C188:$F188,1,MATCH(Sprachwahl,ListSprache,0))</f>
        <v>Dunkel</v>
      </c>
      <c r="C188" s="26" t="s">
        <v>115</v>
      </c>
      <c r="D188" s="26" t="s">
        <v>283</v>
      </c>
      <c r="E188" s="26" t="s">
        <v>417</v>
      </c>
      <c r="F188" s="26" t="s">
        <v>446</v>
      </c>
    </row>
    <row r="190" spans="1:6" x14ac:dyDescent="0.3">
      <c r="A190" s="26" t="s">
        <v>70</v>
      </c>
      <c r="B190" s="26" t="str">
        <f t="shared" ref="B190:B204" si="6">INDEX($C190:$F190,1,MATCH(Sprachwahl,ListSprache,0))</f>
        <v>Helle Lamellen mit Umlenksystem</v>
      </c>
      <c r="C190" s="26" t="s">
        <v>100</v>
      </c>
      <c r="D190" s="217" t="s">
        <v>982</v>
      </c>
      <c r="E190" s="26" t="s">
        <v>466</v>
      </c>
      <c r="F190" s="26" t="s">
        <v>461</v>
      </c>
    </row>
    <row r="191" spans="1:6" x14ac:dyDescent="0.3">
      <c r="B191" s="26" t="str">
        <f t="shared" si="6"/>
        <v>Helle Lamellen ohne Umlenksystem</v>
      </c>
      <c r="C191" s="26" t="s">
        <v>101</v>
      </c>
      <c r="D191" s="26" t="s">
        <v>285</v>
      </c>
      <c r="E191" s="26" t="s">
        <v>467</v>
      </c>
      <c r="F191" s="26" t="s">
        <v>462</v>
      </c>
    </row>
    <row r="192" spans="1:6" x14ac:dyDescent="0.3">
      <c r="B192" s="26" t="str">
        <f t="shared" si="6"/>
        <v>Mittelhelle Lamellen, lichtdurchlässiger Stoff</v>
      </c>
      <c r="C192" s="26" t="s">
        <v>102</v>
      </c>
      <c r="D192" s="26" t="s">
        <v>286</v>
      </c>
      <c r="E192" s="26" t="s">
        <v>632</v>
      </c>
      <c r="F192" s="26" t="s">
        <v>463</v>
      </c>
    </row>
    <row r="193" spans="1:6" x14ac:dyDescent="0.3">
      <c r="B193" s="26" t="str">
        <f t="shared" si="6"/>
        <v>Dunkle Lamellen, wenig durchlässiger Stoff</v>
      </c>
      <c r="C193" s="26" t="s">
        <v>146</v>
      </c>
      <c r="D193" s="26" t="s">
        <v>287</v>
      </c>
      <c r="E193" s="26" t="s">
        <v>633</v>
      </c>
      <c r="F193" s="26" t="s">
        <v>464</v>
      </c>
    </row>
    <row r="194" spans="1:6" x14ac:dyDescent="0.3">
      <c r="B194" s="26" t="str">
        <f t="shared" si="6"/>
        <v>Lichtundurchlässiger Behang</v>
      </c>
      <c r="C194" s="26" t="s">
        <v>103</v>
      </c>
      <c r="D194" s="26" t="s">
        <v>288</v>
      </c>
      <c r="E194" s="26" t="s">
        <v>634</v>
      </c>
      <c r="F194" s="26" t="s">
        <v>465</v>
      </c>
    </row>
    <row r="195" spans="1:6" ht="21.75" customHeight="1" x14ac:dyDescent="0.3">
      <c r="B195" s="213" t="str">
        <f t="shared" si="6"/>
        <v>Kein Sonnenschutz</v>
      </c>
      <c r="C195" s="213" t="s">
        <v>906</v>
      </c>
      <c r="D195" s="213" t="s">
        <v>907</v>
      </c>
      <c r="E195" s="213" t="s">
        <v>908</v>
      </c>
      <c r="F195" s="213" t="s">
        <v>909</v>
      </c>
    </row>
    <row r="196" spans="1:6" x14ac:dyDescent="0.3">
      <c r="A196" s="26" t="s">
        <v>104</v>
      </c>
      <c r="B196" s="26" t="str">
        <f t="shared" si="6"/>
        <v>Motorbetrieben, automatisch, Lamellennachführung</v>
      </c>
      <c r="C196" s="26" t="s">
        <v>105</v>
      </c>
      <c r="D196" s="26" t="s">
        <v>289</v>
      </c>
      <c r="E196" s="26" t="s">
        <v>635</v>
      </c>
      <c r="F196" s="26" t="s">
        <v>457</v>
      </c>
    </row>
    <row r="197" spans="1:6" x14ac:dyDescent="0.3">
      <c r="B197" s="26" t="str">
        <f t="shared" si="6"/>
        <v>Motorbetrieben, automatisch, Berücks. Verschattung</v>
      </c>
      <c r="C197" s="26" t="s">
        <v>108</v>
      </c>
      <c r="D197" s="26" t="s">
        <v>290</v>
      </c>
      <c r="E197" s="26" t="s">
        <v>636</v>
      </c>
      <c r="F197" s="26" t="s">
        <v>456</v>
      </c>
    </row>
    <row r="198" spans="1:6" x14ac:dyDescent="0.3">
      <c r="B198" s="26" t="str">
        <f t="shared" si="6"/>
        <v>Motorbetrieben, automatisch</v>
      </c>
      <c r="C198" s="26" t="s">
        <v>106</v>
      </c>
      <c r="D198" s="26" t="s">
        <v>291</v>
      </c>
      <c r="E198" s="26" t="s">
        <v>468</v>
      </c>
      <c r="F198" s="26" t="s">
        <v>455</v>
      </c>
    </row>
    <row r="199" spans="1:6" x14ac:dyDescent="0.3">
      <c r="B199" s="26" t="str">
        <f t="shared" si="6"/>
        <v>Motorbetrieben, manuell</v>
      </c>
      <c r="C199" s="26" t="s">
        <v>109</v>
      </c>
      <c r="D199" s="26" t="s">
        <v>292</v>
      </c>
      <c r="E199" s="26" t="s">
        <v>637</v>
      </c>
      <c r="F199" s="26" t="s">
        <v>454</v>
      </c>
    </row>
    <row r="200" spans="1:6" x14ac:dyDescent="0.3">
      <c r="B200" s="26" t="str">
        <f t="shared" si="6"/>
        <v>Manuell</v>
      </c>
      <c r="C200" s="26" t="s">
        <v>107</v>
      </c>
      <c r="D200" s="26" t="s">
        <v>293</v>
      </c>
      <c r="E200" s="26" t="s">
        <v>425</v>
      </c>
      <c r="F200" s="26" t="s">
        <v>447</v>
      </c>
    </row>
    <row r="201" spans="1:6" ht="26.25" customHeight="1" x14ac:dyDescent="0.3">
      <c r="B201" s="213" t="str">
        <f t="shared" si="6"/>
        <v>Kein Sonnenschutz</v>
      </c>
      <c r="C201" s="213" t="s">
        <v>906</v>
      </c>
      <c r="D201" s="213" t="s">
        <v>907</v>
      </c>
      <c r="E201" s="213" t="s">
        <v>908</v>
      </c>
      <c r="F201" s="213" t="s">
        <v>909</v>
      </c>
    </row>
    <row r="202" spans="1:6" x14ac:dyDescent="0.3">
      <c r="A202" s="26" t="s">
        <v>80</v>
      </c>
      <c r="B202" s="26" t="str">
        <f t="shared" si="6"/>
        <v>Freie Sicht, keine oder geringe Verschattung durch Umgebung</v>
      </c>
      <c r="C202" s="26" t="s">
        <v>81</v>
      </c>
      <c r="D202" s="217" t="s">
        <v>983</v>
      </c>
      <c r="E202" s="26" t="s">
        <v>638</v>
      </c>
      <c r="F202" s="26" t="s">
        <v>460</v>
      </c>
    </row>
    <row r="203" spans="1:6" x14ac:dyDescent="0.3">
      <c r="B203" s="26" t="str">
        <f t="shared" si="6"/>
        <v>Mittlere Verschattung, Verbauungshöhenwinkel 15°-35°</v>
      </c>
      <c r="C203" s="26" t="s">
        <v>82</v>
      </c>
      <c r="D203" s="217" t="s">
        <v>984</v>
      </c>
      <c r="E203" s="26" t="s">
        <v>639</v>
      </c>
      <c r="F203" s="26" t="s">
        <v>459</v>
      </c>
    </row>
    <row r="204" spans="1:6" x14ac:dyDescent="0.3">
      <c r="B204" s="26" t="str">
        <f t="shared" si="6"/>
        <v>In der Stadt oder grosse Verschattung durch Umgebung</v>
      </c>
      <c r="C204" s="26" t="s">
        <v>83</v>
      </c>
      <c r="D204" s="217" t="s">
        <v>985</v>
      </c>
      <c r="E204" s="26" t="s">
        <v>469</v>
      </c>
      <c r="F204" s="26" t="s">
        <v>458</v>
      </c>
    </row>
    <row r="206" spans="1:6" x14ac:dyDescent="0.3">
      <c r="A206" s="26" t="s">
        <v>792</v>
      </c>
      <c r="B206" s="26" t="str">
        <f t="shared" ref="B206:B212" si="7">INDEX($C206:$F206,1,MATCH(Sprachwahl,ListSprache,0))</f>
        <v>Nur Landschaft</v>
      </c>
      <c r="C206" s="26" t="s">
        <v>796</v>
      </c>
      <c r="D206" s="26" t="s">
        <v>811</v>
      </c>
      <c r="E206" s="26" t="s">
        <v>812</v>
      </c>
      <c r="F206" s="26" t="s">
        <v>806</v>
      </c>
    </row>
    <row r="207" spans="1:6" x14ac:dyDescent="0.3">
      <c r="B207" s="26" t="str">
        <f t="shared" si="7"/>
        <v>Landschaft und Boden</v>
      </c>
      <c r="C207" s="26" t="s">
        <v>793</v>
      </c>
      <c r="D207" s="26" t="s">
        <v>819</v>
      </c>
      <c r="E207" s="26" t="s">
        <v>815</v>
      </c>
      <c r="F207" s="26" t="s">
        <v>823</v>
      </c>
    </row>
    <row r="208" spans="1:6" x14ac:dyDescent="0.3">
      <c r="B208" s="26" t="str">
        <f t="shared" si="7"/>
        <v>Landschaft und Himmel</v>
      </c>
      <c r="C208" s="26" t="s">
        <v>794</v>
      </c>
      <c r="D208" s="26" t="s">
        <v>809</v>
      </c>
      <c r="E208" s="26" t="s">
        <v>813</v>
      </c>
      <c r="F208" s="26" t="s">
        <v>807</v>
      </c>
    </row>
    <row r="209" spans="1:6" x14ac:dyDescent="0.3">
      <c r="B209" s="26" t="str">
        <f t="shared" si="7"/>
        <v>Landschaft, Boden und Himmel</v>
      </c>
      <c r="C209" s="26" t="s">
        <v>795</v>
      </c>
      <c r="D209" s="26" t="s">
        <v>820</v>
      </c>
      <c r="E209" s="26" t="s">
        <v>816</v>
      </c>
      <c r="F209" s="26" t="s">
        <v>824</v>
      </c>
    </row>
    <row r="210" spans="1:6" x14ac:dyDescent="0.3">
      <c r="B210" s="26" t="str">
        <f t="shared" si="7"/>
        <v>Nur Boden</v>
      </c>
      <c r="C210" s="26" t="s">
        <v>797</v>
      </c>
      <c r="D210" s="26" t="s">
        <v>821</v>
      </c>
      <c r="E210" s="26" t="s">
        <v>817</v>
      </c>
      <c r="F210" s="26" t="s">
        <v>825</v>
      </c>
    </row>
    <row r="211" spans="1:6" x14ac:dyDescent="0.3">
      <c r="B211" s="26" t="str">
        <f t="shared" si="7"/>
        <v>Nur Himmel</v>
      </c>
      <c r="C211" s="26" t="s">
        <v>798</v>
      </c>
      <c r="D211" s="26" t="s">
        <v>810</v>
      </c>
      <c r="E211" s="26" t="s">
        <v>814</v>
      </c>
      <c r="F211" s="26" t="s">
        <v>808</v>
      </c>
    </row>
    <row r="212" spans="1:6" x14ac:dyDescent="0.3">
      <c r="B212" s="26" t="str">
        <f t="shared" si="7"/>
        <v>Boden und Himmel</v>
      </c>
      <c r="C212" s="26" t="s">
        <v>799</v>
      </c>
      <c r="D212" s="26" t="s">
        <v>822</v>
      </c>
      <c r="E212" s="26" t="s">
        <v>818</v>
      </c>
      <c r="F212" s="26" t="s">
        <v>826</v>
      </c>
    </row>
    <row r="214" spans="1:6" x14ac:dyDescent="0.3">
      <c r="A214" s="26" t="s">
        <v>849</v>
      </c>
      <c r="B214" s="26" t="str">
        <f>INDEX($C214:$F214,1,MATCH(Sprachwahl,ListSprache,0))</f>
        <v>hoch</v>
      </c>
      <c r="C214" s="217" t="s">
        <v>1019</v>
      </c>
      <c r="D214" s="217" t="s">
        <v>1022</v>
      </c>
      <c r="E214" s="217" t="s">
        <v>1025</v>
      </c>
      <c r="F214" s="217" t="s">
        <v>1030</v>
      </c>
    </row>
    <row r="215" spans="1:6" x14ac:dyDescent="0.3">
      <c r="B215" s="26" t="str">
        <f>INDEX($C215:$F215,1,MATCH(Sprachwahl,ListSprache,0))</f>
        <v>mittel</v>
      </c>
      <c r="C215" s="217" t="s">
        <v>1020</v>
      </c>
      <c r="D215" s="217" t="s">
        <v>1023</v>
      </c>
      <c r="E215" s="217" t="s">
        <v>1026</v>
      </c>
      <c r="F215" s="217" t="s">
        <v>1031</v>
      </c>
    </row>
    <row r="216" spans="1:6" x14ac:dyDescent="0.3">
      <c r="B216" s="26" t="str">
        <f>INDEX($C216:$F216,1,MATCH(Sprachwahl,ListSprache,0))</f>
        <v>minimal</v>
      </c>
      <c r="C216" s="217" t="s">
        <v>1099</v>
      </c>
      <c r="D216" s="217" t="s">
        <v>1100</v>
      </c>
      <c r="E216" s="217" t="s">
        <v>1027</v>
      </c>
      <c r="F216" s="217" t="s">
        <v>1099</v>
      </c>
    </row>
    <row r="217" spans="1:6" x14ac:dyDescent="0.3">
      <c r="B217" s="26" t="str">
        <f>INDEX($C217:$F217,1,MATCH(Sprachwahl,ListSprache,0))</f>
        <v>ungenügend</v>
      </c>
      <c r="C217" s="217" t="s">
        <v>1021</v>
      </c>
      <c r="D217" s="217" t="s">
        <v>1024</v>
      </c>
      <c r="E217" s="217" t="s">
        <v>1028</v>
      </c>
      <c r="F217" s="217" t="s">
        <v>1029</v>
      </c>
    </row>
    <row r="219" spans="1:6" x14ac:dyDescent="0.3">
      <c r="A219" s="26" t="s">
        <v>199</v>
      </c>
      <c r="B219" s="26" t="str">
        <f>INDEX($C219:$F219,1,MATCH(Sprachwahl,ListSprache,0))</f>
        <v>gut erfüllt</v>
      </c>
      <c r="C219" s="26" t="s">
        <v>157</v>
      </c>
      <c r="D219" s="26" t="s">
        <v>224</v>
      </c>
      <c r="E219" s="26" t="s">
        <v>419</v>
      </c>
      <c r="F219" s="26" t="s">
        <v>782</v>
      </c>
    </row>
    <row r="220" spans="1:6" x14ac:dyDescent="0.3">
      <c r="B220" s="26" t="str">
        <f>INDEX($C220:$F220,1,MATCH(Sprachwahl,ListSprache,0))</f>
        <v>erfüllt</v>
      </c>
      <c r="C220" s="26" t="s">
        <v>158</v>
      </c>
      <c r="D220" s="26" t="s">
        <v>222</v>
      </c>
      <c r="E220" s="26" t="s">
        <v>420</v>
      </c>
      <c r="F220" s="26" t="s">
        <v>783</v>
      </c>
    </row>
    <row r="221" spans="1:6" x14ac:dyDescent="0.3">
      <c r="B221" s="26" t="str">
        <f>INDEX($C221:$F221,1,MATCH(Sprachwahl,ListSprache,0))</f>
        <v>nicht erfüllt</v>
      </c>
      <c r="C221" s="26" t="s">
        <v>159</v>
      </c>
      <c r="D221" s="26" t="s">
        <v>223</v>
      </c>
      <c r="E221" s="26" t="s">
        <v>418</v>
      </c>
      <c r="F221" s="26" t="s">
        <v>784</v>
      </c>
    </row>
    <row r="223" spans="1:6" x14ac:dyDescent="0.3">
      <c r="A223" s="26" t="s">
        <v>1033</v>
      </c>
      <c r="B223" s="26" t="str">
        <f>INDEX($C223:$F223,1,MATCH(Sprachwahl,ListSprache,0))</f>
        <v>Neubau</v>
      </c>
      <c r="C223" s="26" t="s">
        <v>22</v>
      </c>
      <c r="D223" s="217" t="s">
        <v>1008</v>
      </c>
      <c r="E223" s="26" t="s">
        <v>421</v>
      </c>
      <c r="F223" s="26" t="s">
        <v>41</v>
      </c>
    </row>
    <row r="224" spans="1:6" x14ac:dyDescent="0.3">
      <c r="B224" s="26" t="str">
        <f>INDEX($C224:$F224,1,MATCH(Sprachwahl,ListSprache,0))</f>
        <v>Erneuerung</v>
      </c>
      <c r="C224" s="217" t="s">
        <v>1002</v>
      </c>
      <c r="D224" s="26" t="s">
        <v>284</v>
      </c>
      <c r="E224" s="26" t="s">
        <v>422</v>
      </c>
      <c r="F224" s="26" t="s">
        <v>42</v>
      </c>
    </row>
    <row r="225" spans="1:6" x14ac:dyDescent="0.3">
      <c r="C225" s="217"/>
    </row>
    <row r="226" spans="1:6" x14ac:dyDescent="0.3">
      <c r="A226" s="26" t="s">
        <v>1037</v>
      </c>
      <c r="B226" s="26" t="str">
        <f t="shared" ref="B226:B238" si="8">INDEX($C226:$F226,1,MATCH(Sprachwahl,ListSprache,0))</f>
        <v>Wohnen MFH</v>
      </c>
      <c r="C226" s="259" t="s">
        <v>1044</v>
      </c>
      <c r="D226" s="259" t="s">
        <v>1050</v>
      </c>
      <c r="E226" s="259" t="s">
        <v>1064</v>
      </c>
      <c r="F226" s="259" t="s">
        <v>1075</v>
      </c>
    </row>
    <row r="227" spans="1:6" x14ac:dyDescent="0.3">
      <c r="B227" s="26" t="str">
        <f t="shared" si="8"/>
        <v>Wohnen EFH</v>
      </c>
      <c r="C227" s="259" t="s">
        <v>1045</v>
      </c>
      <c r="D227" s="259" t="s">
        <v>1051</v>
      </c>
      <c r="E227" s="259" t="s">
        <v>1065</v>
      </c>
      <c r="F227" s="259" t="s">
        <v>1076</v>
      </c>
    </row>
    <row r="228" spans="1:6" x14ac:dyDescent="0.3">
      <c r="B228" s="26" t="str">
        <f t="shared" si="8"/>
        <v>Verwaltung</v>
      </c>
      <c r="C228" s="259" t="s">
        <v>56</v>
      </c>
      <c r="D228" s="259" t="s">
        <v>245</v>
      </c>
      <c r="E228" s="259" t="s">
        <v>1066</v>
      </c>
      <c r="F228" s="259" t="s">
        <v>245</v>
      </c>
    </row>
    <row r="229" spans="1:6" x14ac:dyDescent="0.3">
      <c r="B229" s="26" t="str">
        <f t="shared" si="8"/>
        <v>Schulen</v>
      </c>
      <c r="C229" s="259" t="s">
        <v>1017</v>
      </c>
      <c r="D229" s="259" t="s">
        <v>1052</v>
      </c>
      <c r="E229" s="259" t="s">
        <v>1067</v>
      </c>
      <c r="F229" s="259" t="s">
        <v>1077</v>
      </c>
    </row>
    <row r="230" spans="1:6" x14ac:dyDescent="0.3">
      <c r="B230" s="26" t="str">
        <f t="shared" si="8"/>
        <v>Schulen (Ausnahmeregelung)</v>
      </c>
      <c r="C230" s="259" t="s">
        <v>1111</v>
      </c>
      <c r="D230" s="259" t="s">
        <v>1112</v>
      </c>
      <c r="E230" s="259" t="s">
        <v>1113</v>
      </c>
      <c r="F230" s="259" t="s">
        <v>1114</v>
      </c>
    </row>
    <row r="231" spans="1:6" x14ac:dyDescent="0.3">
      <c r="B231" s="26" t="str">
        <f t="shared" si="8"/>
        <v>Verkauf</v>
      </c>
      <c r="C231" s="259" t="s">
        <v>1046</v>
      </c>
      <c r="D231" s="259" t="s">
        <v>1053</v>
      </c>
      <c r="E231" s="259" t="s">
        <v>1068</v>
      </c>
      <c r="F231" s="259" t="s">
        <v>1078</v>
      </c>
    </row>
    <row r="232" spans="1:6" x14ac:dyDescent="0.3">
      <c r="B232" s="26" t="str">
        <f t="shared" si="8"/>
        <v>Restaurants</v>
      </c>
      <c r="C232" s="259" t="s">
        <v>1060</v>
      </c>
      <c r="D232" s="259" t="s">
        <v>1054</v>
      </c>
      <c r="E232" s="259" t="s">
        <v>1069</v>
      </c>
      <c r="F232" s="259" t="s">
        <v>1060</v>
      </c>
    </row>
    <row r="233" spans="1:6" x14ac:dyDescent="0.3">
      <c r="B233" s="26" t="str">
        <f t="shared" si="8"/>
        <v>Versammlungslokale</v>
      </c>
      <c r="C233" s="259" t="s">
        <v>1061</v>
      </c>
      <c r="D233" s="259" t="s">
        <v>1055</v>
      </c>
      <c r="E233" s="259" t="s">
        <v>1070</v>
      </c>
      <c r="F233" s="259" t="s">
        <v>1079</v>
      </c>
    </row>
    <row r="234" spans="1:6" x14ac:dyDescent="0.3">
      <c r="B234" s="26" t="str">
        <f t="shared" si="8"/>
        <v>Spitäler</v>
      </c>
      <c r="C234" s="259" t="s">
        <v>1062</v>
      </c>
      <c r="D234" s="259" t="s">
        <v>1056</v>
      </c>
      <c r="E234" s="259" t="s">
        <v>1071</v>
      </c>
      <c r="F234" s="259" t="s">
        <v>1080</v>
      </c>
    </row>
    <row r="235" spans="1:6" x14ac:dyDescent="0.3">
      <c r="B235" s="26" t="str">
        <f t="shared" si="8"/>
        <v>Industrie</v>
      </c>
      <c r="C235" s="259" t="s">
        <v>1047</v>
      </c>
      <c r="D235" s="259" t="s">
        <v>1047</v>
      </c>
      <c r="E235" s="259" t="s">
        <v>1047</v>
      </c>
      <c r="F235" s="259" t="s">
        <v>1081</v>
      </c>
    </row>
    <row r="236" spans="1:6" x14ac:dyDescent="0.3">
      <c r="B236" s="26" t="str">
        <f t="shared" si="8"/>
        <v>Lager</v>
      </c>
      <c r="C236" s="259" t="s">
        <v>1048</v>
      </c>
      <c r="D236" s="259" t="s">
        <v>1059</v>
      </c>
      <c r="E236" s="259" t="s">
        <v>1072</v>
      </c>
      <c r="F236" s="259" t="s">
        <v>1082</v>
      </c>
    </row>
    <row r="237" spans="1:6" x14ac:dyDescent="0.3">
      <c r="B237" s="26" t="str">
        <f t="shared" si="8"/>
        <v>Sportbauten</v>
      </c>
      <c r="C237" s="259" t="s">
        <v>1049</v>
      </c>
      <c r="D237" s="259" t="s">
        <v>1057</v>
      </c>
      <c r="E237" s="259" t="s">
        <v>1073</v>
      </c>
      <c r="F237" s="259" t="s">
        <v>1083</v>
      </c>
    </row>
    <row r="238" spans="1:6" x14ac:dyDescent="0.3">
      <c r="B238" s="26" t="str">
        <f t="shared" si="8"/>
        <v>Hallenbäder</v>
      </c>
      <c r="C238" s="259" t="s">
        <v>1063</v>
      </c>
      <c r="D238" s="259" t="s">
        <v>1058</v>
      </c>
      <c r="E238" s="259" t="s">
        <v>1074</v>
      </c>
      <c r="F238" s="259" t="s">
        <v>1084</v>
      </c>
    </row>
    <row r="240" spans="1:6" x14ac:dyDescent="0.3">
      <c r="A240" s="26" t="s">
        <v>206</v>
      </c>
      <c r="B240" s="26" t="str">
        <f>INDEX($C240:$F240,1,MATCH(Sprachwahl,ListSprache,0))</f>
        <v>Bitte zuerst Tabelle 'Fragenkatalog_Erneuerung' ausfüllen.</v>
      </c>
      <c r="C240" s="26" t="str">
        <f>"Bitte zuerst Tabelle '"&amp;SheetQuestionaire&amp;"' ausfüllen."</f>
        <v>Bitte zuerst Tabelle 'Fragenkatalog_Erneuerung' ausfüllen.</v>
      </c>
      <c r="D240" s="26" t="str">
        <f>"Veuillez remplir en premier la feuille '"&amp;SheetQuestionaire&amp;"'"</f>
        <v>Veuillez remplir en premier la feuille 'Fragenkatalog_Erneuerung'</v>
      </c>
      <c r="E240" s="26" t="str">
        <f>"Riempire il foglio '"&amp;SheetQuestionaire&amp;"'"</f>
        <v>Riempire il foglio 'Fragenkatalog_Erneuerung'</v>
      </c>
      <c r="F240" s="26" t="str">
        <f>"Please fill out the sheet '"&amp;SheetQuestionaire&amp;"' first"</f>
        <v>Please fill out the sheet 'Fragenkatalog_Erneuerung' first</v>
      </c>
    </row>
    <row r="241" spans="1:7" x14ac:dyDescent="0.3">
      <c r="B241" s="26" t="str">
        <f>INDEX($C241:$F241,1,MATCH(Sprachwahl,ListSprache,0))</f>
        <v>Bitte direkt Tabellenblätter 'Fenster', 'Tageslicht' und 'Ausblick' ausfüllen</v>
      </c>
      <c r="C241" s="26" t="str">
        <f>"Bitte direkt Tabellenblätter '"&amp;SheetWindow&amp;"', '"&amp;SheetDaylight&amp;"' und '"&amp;SheetViews&amp;"' ausfüllen"</f>
        <v>Bitte direkt Tabellenblätter 'Fenster', 'Tageslicht' und 'Ausblick' ausfüllen</v>
      </c>
      <c r="D241" s="26" t="str">
        <f>"Veuillez remplir directement les feuilles '"&amp;SheetWindow&amp;"', '"&amp;SheetDaylight&amp;"' et '"&amp;SheetViews&amp;"'"</f>
        <v>Veuillez remplir directement les feuilles 'Fenster', 'Tageslicht' et 'Ausblick'</v>
      </c>
      <c r="E241" s="26" t="str">
        <f>"Riempire le foglie '"&amp;SheetWindow&amp;"', '"&amp;SheetDaylight&amp;"' e '"&amp;SheetViews&amp;"'"</f>
        <v>Riempire le foglie 'Fenster', 'Tageslicht' e 'Ausblick'</v>
      </c>
      <c r="F241" s="26" t="str">
        <f>"Please fill out the sheets '"&amp;SheetWindow&amp;"', '"&amp;SheetDaylight&amp;"' and '"&amp;SheetViews&amp;"'"</f>
        <v>Please fill out the sheets 'Fenster', 'Tageslicht' and 'Ausblick'</v>
      </c>
    </row>
    <row r="243" spans="1:7" x14ac:dyDescent="0.3">
      <c r="A243" s="26" t="s">
        <v>207</v>
      </c>
      <c r="B243" s="26" t="str">
        <f>INDEX($C243:$F243,1,MATCH(Sprachwahl,ListSprache,0))</f>
        <v>Ja</v>
      </c>
      <c r="C243" s="26" t="s">
        <v>52</v>
      </c>
      <c r="D243" s="26" t="s">
        <v>298</v>
      </c>
      <c r="E243" s="26" t="s">
        <v>423</v>
      </c>
      <c r="F243" s="26" t="s">
        <v>453</v>
      </c>
    </row>
    <row r="244" spans="1:7" x14ac:dyDescent="0.3">
      <c r="B244" s="26" t="str">
        <f>INDEX($C244:$F244,1,MATCH(Sprachwahl,ListSprache,0))</f>
        <v>Nein</v>
      </c>
      <c r="C244" s="26" t="s">
        <v>51</v>
      </c>
      <c r="D244" s="26" t="s">
        <v>297</v>
      </c>
      <c r="E244" s="26" t="s">
        <v>424</v>
      </c>
      <c r="F244" s="26" t="s">
        <v>424</v>
      </c>
    </row>
    <row r="246" spans="1:7" x14ac:dyDescent="0.3">
      <c r="A246" s="26" t="s">
        <v>448</v>
      </c>
      <c r="B246" s="26" t="str">
        <f>INDEX($C246:$F246,1,MATCH(Sprachwahl,ListSprache,0))</f>
        <v>Überblick</v>
      </c>
      <c r="C246" s="26" t="s">
        <v>449</v>
      </c>
      <c r="D246" s="26" t="s">
        <v>451</v>
      </c>
      <c r="E246" s="26" t="s">
        <v>306</v>
      </c>
      <c r="F246" s="26" t="s">
        <v>325</v>
      </c>
    </row>
    <row r="247" spans="1:7" x14ac:dyDescent="0.3">
      <c r="B247" s="26" t="str">
        <f>INDEX($C247:$F247,1,MATCH(Sprachwahl,ListSprache,0))</f>
        <v>Fenster</v>
      </c>
      <c r="C247" s="26" t="s">
        <v>62</v>
      </c>
      <c r="D247" s="26" t="s">
        <v>234</v>
      </c>
      <c r="E247" s="26" t="s">
        <v>313</v>
      </c>
      <c r="F247" s="26" t="s">
        <v>354</v>
      </c>
    </row>
    <row r="248" spans="1:7" x14ac:dyDescent="0.3">
      <c r="B248" s="26" t="str">
        <f>INDEX($C248:$F248,1,MATCH(Sprachwahl,ListSprache,0))</f>
        <v>Tageslicht</v>
      </c>
      <c r="C248" s="26" t="s">
        <v>450</v>
      </c>
      <c r="D248" s="26" t="s">
        <v>689</v>
      </c>
      <c r="E248" s="26" t="s">
        <v>688</v>
      </c>
      <c r="F248" s="26" t="s">
        <v>452</v>
      </c>
    </row>
    <row r="249" spans="1:7" x14ac:dyDescent="0.3">
      <c r="B249" s="26" t="str">
        <f>INDEX($C249:$F249,1,MATCH(Sprachwahl,ListSprache,0))</f>
        <v>Ausblick</v>
      </c>
      <c r="C249" s="26" t="s">
        <v>883</v>
      </c>
      <c r="D249" s="26" t="s">
        <v>885</v>
      </c>
      <c r="E249" s="26" t="s">
        <v>886</v>
      </c>
      <c r="F249" s="26" t="s">
        <v>884</v>
      </c>
    </row>
    <row r="250" spans="1:7" x14ac:dyDescent="0.3">
      <c r="B250" s="26" t="str">
        <f>INDEX($C250:$F250,1,MATCH(Sprachwahl,ListSprache,0))</f>
        <v>Fragenkatalog_Erneuerung</v>
      </c>
      <c r="C250" s="26" t="s">
        <v>1012</v>
      </c>
      <c r="D250" s="26" t="s">
        <v>785</v>
      </c>
      <c r="E250" s="26" t="s">
        <v>786</v>
      </c>
      <c r="F250" s="26" t="s">
        <v>787</v>
      </c>
    </row>
    <row r="253" spans="1:7" x14ac:dyDescent="0.3">
      <c r="A253" s="37" t="s">
        <v>471</v>
      </c>
      <c r="B253" s="37"/>
      <c r="C253" s="37"/>
      <c r="D253" s="37"/>
      <c r="E253" s="37"/>
      <c r="F253" s="37"/>
      <c r="G253" s="37"/>
    </row>
    <row r="254" spans="1:7" x14ac:dyDescent="0.3">
      <c r="A254" s="37" t="s">
        <v>516</v>
      </c>
      <c r="B254" s="37" t="s">
        <v>517</v>
      </c>
      <c r="C254" s="37" t="s">
        <v>163</v>
      </c>
      <c r="D254" s="37" t="str">
        <f>C$4</f>
        <v>Deutsch</v>
      </c>
      <c r="E254" s="37" t="str">
        <f>D$4</f>
        <v>Francais</v>
      </c>
      <c r="F254" s="37" t="str">
        <f>E$4</f>
        <v>Italiano</v>
      </c>
      <c r="G254" s="37" t="str">
        <f>F$4</f>
        <v>English</v>
      </c>
    </row>
    <row r="255" spans="1:7" x14ac:dyDescent="0.3">
      <c r="A255" s="170">
        <v>2</v>
      </c>
      <c r="B255" s="26" t="s">
        <v>540</v>
      </c>
      <c r="C255" s="26" t="str">
        <f t="shared" ref="C255:C286" si="9">INDEX($D255:$G255,1,MATCH(Sprachwahl,ListSprache,0))</f>
        <v>Kürzel</v>
      </c>
      <c r="D255" s="217" t="s">
        <v>71</v>
      </c>
      <c r="E255" s="217" t="s">
        <v>986</v>
      </c>
      <c r="F255" s="217" t="s">
        <v>987</v>
      </c>
      <c r="G255" s="217" t="s">
        <v>988</v>
      </c>
    </row>
    <row r="256" spans="1:7" x14ac:dyDescent="0.3">
      <c r="A256" s="170"/>
      <c r="C256" s="26" t="str">
        <f t="shared" si="9"/>
        <v>Eingabe einer Kurzbezeichnung (max. 4 Zeichen).</v>
      </c>
      <c r="D256" s="217" t="s">
        <v>991</v>
      </c>
      <c r="E256" s="217" t="s">
        <v>994</v>
      </c>
      <c r="F256" s="217" t="s">
        <v>995</v>
      </c>
      <c r="G256" s="217" t="s">
        <v>997</v>
      </c>
    </row>
    <row r="257" spans="1:7" x14ac:dyDescent="0.3">
      <c r="A257" s="170"/>
      <c r="C257" s="26" t="str">
        <f t="shared" si="9"/>
        <v>Fehler</v>
      </c>
      <c r="D257" s="217" t="s">
        <v>531</v>
      </c>
      <c r="E257" s="217" t="s">
        <v>691</v>
      </c>
      <c r="F257" s="217" t="s">
        <v>582</v>
      </c>
      <c r="G257" s="217" t="s">
        <v>664</v>
      </c>
    </row>
    <row r="258" spans="1:7" x14ac:dyDescent="0.3">
      <c r="A258" s="170"/>
      <c r="C258" s="26" t="str">
        <f t="shared" si="9"/>
        <v>Sie dürfen maximal 4 Zeichen eingeben.</v>
      </c>
      <c r="D258" s="217" t="s">
        <v>992</v>
      </c>
      <c r="E258" s="217" t="s">
        <v>993</v>
      </c>
      <c r="F258" s="217" t="s">
        <v>996</v>
      </c>
      <c r="G258" s="217" t="s">
        <v>998</v>
      </c>
    </row>
    <row r="259" spans="1:7" x14ac:dyDescent="0.3">
      <c r="A259" s="170">
        <v>2</v>
      </c>
      <c r="B259" s="26" t="s">
        <v>541</v>
      </c>
      <c r="C259" s="26" t="str">
        <f t="shared" si="9"/>
        <v>Bezeichnung</v>
      </c>
      <c r="D259" s="26" t="s">
        <v>72</v>
      </c>
      <c r="E259" s="26" t="s">
        <v>692</v>
      </c>
      <c r="F259" s="26" t="s">
        <v>583</v>
      </c>
      <c r="G259" s="26" t="s">
        <v>487</v>
      </c>
    </row>
    <row r="260" spans="1:7" x14ac:dyDescent="0.3">
      <c r="A260" s="170"/>
      <c r="C260" s="26" t="str">
        <f t="shared" si="9"/>
        <v>Bitte geben Sie eine Bezeichnung für das Fenster ein</v>
      </c>
      <c r="D260" s="26" t="s">
        <v>557</v>
      </c>
      <c r="E260" s="26" t="s">
        <v>693</v>
      </c>
      <c r="F260" s="26" t="s">
        <v>584</v>
      </c>
      <c r="G260" s="26" t="s">
        <v>665</v>
      </c>
    </row>
    <row r="261" spans="1:7" x14ac:dyDescent="0.3">
      <c r="A261" s="170"/>
      <c r="C261" s="26" t="str">
        <f t="shared" si="9"/>
        <v>Fehler</v>
      </c>
      <c r="D261" s="26" t="s">
        <v>531</v>
      </c>
      <c r="E261" s="26" t="s">
        <v>691</v>
      </c>
      <c r="F261" s="26" t="s">
        <v>582</v>
      </c>
      <c r="G261" s="26" t="s">
        <v>664</v>
      </c>
    </row>
    <row r="262" spans="1:7" x14ac:dyDescent="0.3">
      <c r="A262" s="170"/>
      <c r="C262" s="26" t="str">
        <f t="shared" si="9"/>
        <v>Sie dürfen nur maximal 25 Zeichen eingeben.</v>
      </c>
      <c r="D262" s="26" t="s">
        <v>558</v>
      </c>
      <c r="E262" s="26" t="s">
        <v>694</v>
      </c>
      <c r="F262" s="26" t="s">
        <v>585</v>
      </c>
      <c r="G262" s="26" t="s">
        <v>666</v>
      </c>
    </row>
    <row r="263" spans="1:7" x14ac:dyDescent="0.3">
      <c r="A263" s="170">
        <v>2</v>
      </c>
      <c r="B263" s="26" t="s">
        <v>542</v>
      </c>
      <c r="C263" s="26" t="str">
        <f t="shared" si="9"/>
        <v>Breite</v>
      </c>
      <c r="D263" s="26" t="s">
        <v>67</v>
      </c>
      <c r="E263" s="26" t="s">
        <v>695</v>
      </c>
      <c r="F263" s="26" t="s">
        <v>586</v>
      </c>
      <c r="G263" s="26" t="s">
        <v>667</v>
      </c>
    </row>
    <row r="264" spans="1:7" x14ac:dyDescent="0.3">
      <c r="A264" s="170"/>
      <c r="C264" s="26" t="str">
        <f t="shared" si="9"/>
        <v>Geben Sie die Breite des Fensters (Öffnungslichtmass) ein.</v>
      </c>
      <c r="D264" s="26" t="s">
        <v>562</v>
      </c>
      <c r="E264" s="26" t="s">
        <v>696</v>
      </c>
      <c r="F264" s="26" t="s">
        <v>587</v>
      </c>
      <c r="G264" s="26" t="s">
        <v>668</v>
      </c>
    </row>
    <row r="265" spans="1:7" x14ac:dyDescent="0.3">
      <c r="A265" s="170"/>
      <c r="C265" s="26" t="str">
        <f t="shared" si="9"/>
        <v>Fehler</v>
      </c>
      <c r="D265" s="26" t="s">
        <v>531</v>
      </c>
      <c r="E265" s="26" t="s">
        <v>691</v>
      </c>
      <c r="F265" s="26" t="s">
        <v>582</v>
      </c>
      <c r="G265" s="26" t="s">
        <v>664</v>
      </c>
    </row>
    <row r="266" spans="1:7" x14ac:dyDescent="0.3">
      <c r="A266" s="170"/>
      <c r="C266" s="26" t="str">
        <f t="shared" si="9"/>
        <v>Sie müssen Werte zwischen 0 und 999 eingeben.</v>
      </c>
      <c r="D266" s="26" t="s">
        <v>559</v>
      </c>
      <c r="E266" s="26" t="s">
        <v>697</v>
      </c>
      <c r="F266" s="26" t="s">
        <v>588</v>
      </c>
      <c r="G266" s="26" t="s">
        <v>669</v>
      </c>
    </row>
    <row r="267" spans="1:7" x14ac:dyDescent="0.3">
      <c r="A267" s="170">
        <v>2</v>
      </c>
      <c r="B267" s="26" t="s">
        <v>543</v>
      </c>
      <c r="C267" s="26" t="str">
        <f t="shared" si="9"/>
        <v>Höhe</v>
      </c>
      <c r="D267" s="26" t="s">
        <v>68</v>
      </c>
      <c r="E267" s="26" t="s">
        <v>698</v>
      </c>
      <c r="F267" s="26" t="s">
        <v>589</v>
      </c>
      <c r="G267" s="26" t="s">
        <v>674</v>
      </c>
    </row>
    <row r="268" spans="1:7" x14ac:dyDescent="0.3">
      <c r="A268" s="170"/>
      <c r="C268" s="26" t="str">
        <f t="shared" si="9"/>
        <v>Geben Sie die Höhe des Fensters (Öffnungslichtmass) ein.</v>
      </c>
      <c r="D268" s="26" t="s">
        <v>563</v>
      </c>
      <c r="E268" s="26" t="s">
        <v>699</v>
      </c>
      <c r="F268" s="26" t="s">
        <v>590</v>
      </c>
      <c r="G268" s="26" t="s">
        <v>675</v>
      </c>
    </row>
    <row r="269" spans="1:7" x14ac:dyDescent="0.3">
      <c r="A269" s="170"/>
      <c r="C269" s="26" t="str">
        <f t="shared" si="9"/>
        <v>Fehler</v>
      </c>
      <c r="D269" s="26" t="s">
        <v>531</v>
      </c>
      <c r="E269" s="26" t="s">
        <v>691</v>
      </c>
      <c r="F269" s="26" t="s">
        <v>582</v>
      </c>
      <c r="G269" s="26" t="s">
        <v>664</v>
      </c>
    </row>
    <row r="270" spans="1:7" x14ac:dyDescent="0.3">
      <c r="A270" s="170"/>
      <c r="C270" s="26" t="str">
        <f t="shared" si="9"/>
        <v>Sie müssen Werte zwischen 0 und 999 eingeben.</v>
      </c>
      <c r="D270" s="26" t="s">
        <v>559</v>
      </c>
      <c r="E270" s="26" t="s">
        <v>697</v>
      </c>
      <c r="F270" s="26" t="s">
        <v>588</v>
      </c>
      <c r="G270" s="26" t="s">
        <v>669</v>
      </c>
    </row>
    <row r="271" spans="1:7" x14ac:dyDescent="0.3">
      <c r="A271" s="170">
        <v>2</v>
      </c>
      <c r="B271" s="26" t="s">
        <v>544</v>
      </c>
      <c r="C271" s="26" t="str">
        <f t="shared" si="9"/>
        <v>Glasanteil</v>
      </c>
      <c r="D271" s="26" t="s">
        <v>546</v>
      </c>
      <c r="E271" s="26" t="s">
        <v>700</v>
      </c>
      <c r="F271" s="26" t="s">
        <v>591</v>
      </c>
      <c r="G271" s="26" t="s">
        <v>676</v>
      </c>
    </row>
    <row r="272" spans="1:7" x14ac:dyDescent="0.3">
      <c r="A272" s="170"/>
      <c r="C272" s="26" t="str">
        <f t="shared" si="9"/>
        <v>Geben Sie den Flächenanteil des Glases am Öffnungslichtmass ein.</v>
      </c>
      <c r="D272" s="26" t="s">
        <v>564</v>
      </c>
      <c r="E272" s="26" t="s">
        <v>701</v>
      </c>
      <c r="F272" s="26" t="s">
        <v>592</v>
      </c>
      <c r="G272" s="26" t="s">
        <v>677</v>
      </c>
    </row>
    <row r="273" spans="1:7" x14ac:dyDescent="0.3">
      <c r="A273" s="170"/>
      <c r="C273" s="26" t="str">
        <f t="shared" si="9"/>
        <v>Fehler</v>
      </c>
      <c r="D273" s="26" t="s">
        <v>531</v>
      </c>
      <c r="E273" s="26" t="s">
        <v>691</v>
      </c>
      <c r="F273" s="26" t="s">
        <v>582</v>
      </c>
      <c r="G273" s="26" t="s">
        <v>664</v>
      </c>
    </row>
    <row r="274" spans="1:7" x14ac:dyDescent="0.3">
      <c r="A274" s="170"/>
      <c r="C274" s="26" t="str">
        <f t="shared" si="9"/>
        <v>Sie müssen Werte zwischen 0% und 100% eingeben.</v>
      </c>
      <c r="D274" s="26" t="s">
        <v>560</v>
      </c>
      <c r="E274" s="26" t="s">
        <v>702</v>
      </c>
      <c r="F274" s="26" t="s">
        <v>593</v>
      </c>
      <c r="G274" s="26" t="s">
        <v>671</v>
      </c>
    </row>
    <row r="275" spans="1:7" x14ac:dyDescent="0.3">
      <c r="A275" s="170">
        <v>2</v>
      </c>
      <c r="B275" s="26" t="s">
        <v>545</v>
      </c>
      <c r="C275" s="26" t="str">
        <f t="shared" si="9"/>
        <v>Tau</v>
      </c>
      <c r="D275" s="26" t="s">
        <v>69</v>
      </c>
      <c r="E275" s="26" t="s">
        <v>69</v>
      </c>
      <c r="F275" s="26" t="s">
        <v>594</v>
      </c>
      <c r="G275" s="26" t="s">
        <v>678</v>
      </c>
    </row>
    <row r="276" spans="1:7" ht="15" customHeight="1" x14ac:dyDescent="0.3">
      <c r="A276" s="170"/>
      <c r="C276" s="26" t="str">
        <f t="shared" si="9"/>
        <v>Geben Sie den Wert für den Tageslicht-Transmissiongrad des Glases ein. 
Achtung: bei vor dem Fenster angeordneten Gläsern (Kastenfenster, Doppelfassaden etc.) ist der Tau-Wert der Verglasungen zu multiplizieren.</v>
      </c>
      <c r="D276" s="214" t="s">
        <v>911</v>
      </c>
      <c r="E276" s="26" t="s">
        <v>703</v>
      </c>
      <c r="F276" s="26" t="s">
        <v>595</v>
      </c>
      <c r="G276" s="26" t="s">
        <v>679</v>
      </c>
    </row>
    <row r="277" spans="1:7" x14ac:dyDescent="0.3">
      <c r="A277" s="170"/>
      <c r="C277" s="26" t="str">
        <f t="shared" si="9"/>
        <v>Fehler</v>
      </c>
      <c r="D277" s="26" t="s">
        <v>531</v>
      </c>
      <c r="E277" s="26" t="s">
        <v>691</v>
      </c>
      <c r="F277" s="26" t="s">
        <v>582</v>
      </c>
      <c r="G277" s="26" t="s">
        <v>664</v>
      </c>
    </row>
    <row r="278" spans="1:7" x14ac:dyDescent="0.3">
      <c r="A278" s="170"/>
      <c r="C278" s="26" t="str">
        <f t="shared" si="9"/>
        <v>Sie müssen Werte zwischen 0% und 100% eingeben.</v>
      </c>
      <c r="D278" s="26" t="s">
        <v>560</v>
      </c>
      <c r="E278" s="26" t="s">
        <v>702</v>
      </c>
      <c r="F278" s="26" t="s">
        <v>593</v>
      </c>
      <c r="G278" s="26" t="s">
        <v>671</v>
      </c>
    </row>
    <row r="279" spans="1:7" x14ac:dyDescent="0.3">
      <c r="A279" s="170">
        <v>2</v>
      </c>
      <c r="B279" s="26" t="s">
        <v>549</v>
      </c>
      <c r="C279" s="26" t="str">
        <f t="shared" si="9"/>
        <v>Sturzhöhe</v>
      </c>
      <c r="D279" s="26" t="s">
        <v>547</v>
      </c>
      <c r="E279" s="26" t="s">
        <v>704</v>
      </c>
      <c r="F279" s="26" t="s">
        <v>596</v>
      </c>
      <c r="G279" s="26" t="s">
        <v>673</v>
      </c>
    </row>
    <row r="280" spans="1:7" x14ac:dyDescent="0.3">
      <c r="A280" s="170"/>
      <c r="C280" s="26" t="str">
        <f t="shared" si="9"/>
        <v>Geben Sie den Abstand zwischen Decke und Verglasung ein.</v>
      </c>
      <c r="D280" s="26" t="s">
        <v>565</v>
      </c>
      <c r="E280" s="26" t="s">
        <v>705</v>
      </c>
      <c r="F280" s="26" t="s">
        <v>597</v>
      </c>
      <c r="G280" s="26" t="s">
        <v>672</v>
      </c>
    </row>
    <row r="281" spans="1:7" x14ac:dyDescent="0.3">
      <c r="A281" s="170"/>
      <c r="C281" s="26" t="str">
        <f t="shared" si="9"/>
        <v>Fehler</v>
      </c>
      <c r="D281" s="26" t="s">
        <v>531</v>
      </c>
      <c r="E281" s="26" t="s">
        <v>691</v>
      </c>
      <c r="F281" s="26" t="s">
        <v>582</v>
      </c>
      <c r="G281" s="26" t="s">
        <v>664</v>
      </c>
    </row>
    <row r="282" spans="1:7" x14ac:dyDescent="0.3">
      <c r="A282" s="170"/>
      <c r="C282" s="26" t="str">
        <f t="shared" si="9"/>
        <v>Sie müssen Werte zwischen 0 und 99 eingeben.</v>
      </c>
      <c r="D282" s="26" t="s">
        <v>561</v>
      </c>
      <c r="E282" s="26" t="s">
        <v>706</v>
      </c>
      <c r="F282" s="26" t="s">
        <v>588</v>
      </c>
      <c r="G282" s="26" t="s">
        <v>670</v>
      </c>
    </row>
    <row r="283" spans="1:7" x14ac:dyDescent="0.3">
      <c r="A283" s="170">
        <v>2</v>
      </c>
      <c r="B283" s="26" t="s">
        <v>550</v>
      </c>
      <c r="C283" s="26" t="str">
        <f t="shared" si="9"/>
        <v>Auskragung</v>
      </c>
      <c r="D283" s="26" t="s">
        <v>548</v>
      </c>
      <c r="E283" s="26" t="s">
        <v>707</v>
      </c>
      <c r="F283" s="26" t="s">
        <v>598</v>
      </c>
      <c r="G283" s="26" t="s">
        <v>683</v>
      </c>
    </row>
    <row r="284" spans="1:7" x14ac:dyDescent="0.3">
      <c r="A284" s="170"/>
      <c r="C284" s="26" t="str">
        <f t="shared" si="9"/>
        <v>Geben Sie den horizontalen Abstand zwischen Fenster und Vorderkante der Auskragung ein.</v>
      </c>
      <c r="D284" s="26" t="s">
        <v>566</v>
      </c>
      <c r="E284" s="26" t="s">
        <v>708</v>
      </c>
      <c r="F284" s="26" t="s">
        <v>599</v>
      </c>
      <c r="G284" s="26" t="s">
        <v>684</v>
      </c>
    </row>
    <row r="285" spans="1:7" x14ac:dyDescent="0.3">
      <c r="A285" s="170"/>
      <c r="C285" s="26" t="str">
        <f t="shared" si="9"/>
        <v>Fehler</v>
      </c>
      <c r="D285" s="26" t="s">
        <v>531</v>
      </c>
      <c r="E285" s="26" t="s">
        <v>691</v>
      </c>
      <c r="F285" s="26" t="s">
        <v>582</v>
      </c>
      <c r="G285" s="26" t="s">
        <v>664</v>
      </c>
    </row>
    <row r="286" spans="1:7" x14ac:dyDescent="0.3">
      <c r="A286" s="170"/>
      <c r="C286" s="26" t="str">
        <f t="shared" si="9"/>
        <v>Sie müssen Werte zwischen 0 und 99 eingeben.</v>
      </c>
      <c r="D286" s="26" t="s">
        <v>561</v>
      </c>
      <c r="E286" s="26" t="s">
        <v>706</v>
      </c>
      <c r="F286" s="26" t="s">
        <v>588</v>
      </c>
      <c r="G286" s="26" t="s">
        <v>670</v>
      </c>
    </row>
    <row r="287" spans="1:7" x14ac:dyDescent="0.3">
      <c r="A287" s="170">
        <v>2</v>
      </c>
      <c r="B287" s="26" t="s">
        <v>551</v>
      </c>
      <c r="C287" s="26" t="str">
        <f t="shared" ref="C287:C318" si="10">INDEX($D287:$G287,1,MATCH(Sprachwahl,ListSprache,0))</f>
        <v>Oberlicht</v>
      </c>
      <c r="D287" s="26" t="s">
        <v>555</v>
      </c>
      <c r="E287" s="26" t="s">
        <v>709</v>
      </c>
      <c r="F287" s="26" t="s">
        <v>600</v>
      </c>
      <c r="G287" s="26" t="s">
        <v>680</v>
      </c>
    </row>
    <row r="288" spans="1:7" x14ac:dyDescent="0.3">
      <c r="A288" s="170"/>
      <c r="C288" s="26" t="str">
        <f t="shared" si="10"/>
        <v>Wählen Sie Ja, wenn das Fenster im Dach angeordnet ist (Neigung 0° bis 45° aus der Horizontalen)</v>
      </c>
      <c r="D288" s="26" t="s">
        <v>567</v>
      </c>
      <c r="E288" s="26" t="s">
        <v>710</v>
      </c>
      <c r="F288" s="26" t="s">
        <v>601</v>
      </c>
      <c r="G288" s="26" t="s">
        <v>681</v>
      </c>
    </row>
    <row r="289" spans="1:7" x14ac:dyDescent="0.3">
      <c r="A289" s="170"/>
      <c r="C289" s="26" t="str">
        <f t="shared" si="10"/>
        <v>Fehler</v>
      </c>
      <c r="D289" s="26" t="s">
        <v>531</v>
      </c>
      <c r="E289" s="26" t="s">
        <v>691</v>
      </c>
      <c r="F289" s="26" t="s">
        <v>582</v>
      </c>
      <c r="G289" s="26" t="s">
        <v>664</v>
      </c>
    </row>
    <row r="290" spans="1:7" x14ac:dyDescent="0.3">
      <c r="A290" s="170"/>
      <c r="C290" s="26" t="str">
        <f t="shared" si="10"/>
        <v>Sie müssen einen Eintrag aus der Liste wählen.</v>
      </c>
      <c r="D290" s="26" t="s">
        <v>43</v>
      </c>
      <c r="E290" s="26" t="s">
        <v>711</v>
      </c>
      <c r="F290" s="26" t="s">
        <v>602</v>
      </c>
      <c r="G290" s="26" t="s">
        <v>682</v>
      </c>
    </row>
    <row r="291" spans="1:7" x14ac:dyDescent="0.3">
      <c r="A291" s="170">
        <v>2</v>
      </c>
      <c r="B291" s="26" t="s">
        <v>552</v>
      </c>
      <c r="C291" s="26" t="str">
        <f t="shared" si="10"/>
        <v>Sonnenschutz-Typ</v>
      </c>
      <c r="D291" s="26" t="s">
        <v>556</v>
      </c>
      <c r="E291" s="26" t="s">
        <v>712</v>
      </c>
      <c r="F291" s="26" t="s">
        <v>603</v>
      </c>
      <c r="G291" s="26" t="s">
        <v>776</v>
      </c>
    </row>
    <row r="292" spans="1:7" x14ac:dyDescent="0.3">
      <c r="A292" s="170"/>
      <c r="C292" s="26" t="str">
        <f t="shared" si="10"/>
        <v>Wählen Sie den am besten zutreffenden Sonnenschutz-Typ aus der Liste.</v>
      </c>
      <c r="D292" s="26" t="s">
        <v>568</v>
      </c>
      <c r="E292" s="26" t="s">
        <v>713</v>
      </c>
      <c r="F292" s="26" t="s">
        <v>604</v>
      </c>
      <c r="G292" s="26" t="s">
        <v>777</v>
      </c>
    </row>
    <row r="293" spans="1:7" x14ac:dyDescent="0.3">
      <c r="A293" s="170"/>
      <c r="C293" s="26" t="str">
        <f t="shared" si="10"/>
        <v>Fehler</v>
      </c>
      <c r="D293" s="26" t="s">
        <v>531</v>
      </c>
      <c r="E293" s="26" t="s">
        <v>691</v>
      </c>
      <c r="F293" s="26" t="s">
        <v>582</v>
      </c>
      <c r="G293" s="26" t="s">
        <v>664</v>
      </c>
    </row>
    <row r="294" spans="1:7" x14ac:dyDescent="0.3">
      <c r="A294" s="170"/>
      <c r="C294" s="26" t="str">
        <f t="shared" si="10"/>
        <v>Sie müssen einen Eintrag aus der Liste wählen.</v>
      </c>
      <c r="D294" s="26" t="s">
        <v>43</v>
      </c>
      <c r="E294" s="26" t="s">
        <v>711</v>
      </c>
      <c r="F294" s="26" t="s">
        <v>602</v>
      </c>
      <c r="G294" s="26" t="s">
        <v>682</v>
      </c>
    </row>
    <row r="295" spans="1:7" x14ac:dyDescent="0.3">
      <c r="A295" s="170">
        <v>2</v>
      </c>
      <c r="B295" s="26" t="s">
        <v>553</v>
      </c>
      <c r="C295" s="26" t="str">
        <f t="shared" si="10"/>
        <v>Steuerung</v>
      </c>
      <c r="D295" s="26" t="s">
        <v>110</v>
      </c>
      <c r="E295" s="26" t="s">
        <v>714</v>
      </c>
      <c r="F295" s="26" t="s">
        <v>605</v>
      </c>
      <c r="G295" s="26" t="s">
        <v>778</v>
      </c>
    </row>
    <row r="296" spans="1:7" x14ac:dyDescent="0.3">
      <c r="A296" s="170"/>
      <c r="C296" s="26" t="str">
        <f t="shared" si="10"/>
        <v>Wählen Sie den am besten zutreffenden Steuerungs-Typ aus der Liste.</v>
      </c>
      <c r="D296" s="26" t="s">
        <v>569</v>
      </c>
      <c r="E296" s="26" t="s">
        <v>715</v>
      </c>
      <c r="F296" s="26" t="s">
        <v>606</v>
      </c>
      <c r="G296" s="26" t="s">
        <v>779</v>
      </c>
    </row>
    <row r="297" spans="1:7" x14ac:dyDescent="0.3">
      <c r="A297" s="170"/>
      <c r="C297" s="26" t="str">
        <f t="shared" si="10"/>
        <v>Fehler</v>
      </c>
      <c r="D297" s="26" t="s">
        <v>531</v>
      </c>
      <c r="E297" s="26" t="s">
        <v>691</v>
      </c>
      <c r="F297" s="26" t="s">
        <v>582</v>
      </c>
      <c r="G297" s="26" t="s">
        <v>664</v>
      </c>
    </row>
    <row r="298" spans="1:7" x14ac:dyDescent="0.3">
      <c r="A298" s="170"/>
      <c r="C298" s="26" t="str">
        <f t="shared" si="10"/>
        <v>Sie müssen einen Eintrag aus der Liste wählen.</v>
      </c>
      <c r="D298" s="26" t="s">
        <v>43</v>
      </c>
      <c r="E298" s="26" t="s">
        <v>711</v>
      </c>
      <c r="F298" s="26" t="s">
        <v>602</v>
      </c>
      <c r="G298" s="26" t="s">
        <v>759</v>
      </c>
    </row>
    <row r="299" spans="1:7" x14ac:dyDescent="0.3">
      <c r="A299" s="170">
        <v>2</v>
      </c>
      <c r="B299" s="26" t="s">
        <v>554</v>
      </c>
      <c r="C299" s="26" t="str">
        <f t="shared" si="10"/>
        <v>Verschattung</v>
      </c>
      <c r="D299" s="26" t="s">
        <v>125</v>
      </c>
      <c r="E299" s="26" t="s">
        <v>716</v>
      </c>
      <c r="F299" s="26" t="s">
        <v>607</v>
      </c>
      <c r="G299" s="26" t="s">
        <v>767</v>
      </c>
    </row>
    <row r="300" spans="1:7" x14ac:dyDescent="0.3">
      <c r="A300" s="170"/>
      <c r="C300" s="26" t="str">
        <f t="shared" si="10"/>
        <v>Wählen Sie die am besten zutreffende Situation der Fassade, in der das Fenster platziert ist.</v>
      </c>
      <c r="D300" s="26" t="s">
        <v>570</v>
      </c>
      <c r="E300" s="26" t="s">
        <v>717</v>
      </c>
      <c r="F300" s="26" t="s">
        <v>608</v>
      </c>
      <c r="G300" s="26" t="s">
        <v>780</v>
      </c>
    </row>
    <row r="301" spans="1:7" x14ac:dyDescent="0.3">
      <c r="A301" s="170"/>
      <c r="C301" s="26" t="str">
        <f t="shared" si="10"/>
        <v>Fehler</v>
      </c>
      <c r="D301" s="26" t="s">
        <v>531</v>
      </c>
      <c r="E301" s="26" t="s">
        <v>691</v>
      </c>
      <c r="F301" s="26" t="s">
        <v>582</v>
      </c>
      <c r="G301" s="26" t="s">
        <v>664</v>
      </c>
    </row>
    <row r="302" spans="1:7" x14ac:dyDescent="0.3">
      <c r="A302" s="170"/>
      <c r="C302" s="26" t="str">
        <f t="shared" si="10"/>
        <v>Sie müssen einen Eintrag aus der Liste wählen.</v>
      </c>
      <c r="D302" s="26" t="s">
        <v>43</v>
      </c>
      <c r="E302" s="26" t="s">
        <v>711</v>
      </c>
      <c r="F302" s="26" t="s">
        <v>602</v>
      </c>
      <c r="G302" s="26" t="s">
        <v>759</v>
      </c>
    </row>
    <row r="303" spans="1:7" x14ac:dyDescent="0.3">
      <c r="A303" s="169">
        <v>3</v>
      </c>
      <c r="B303" s="26" t="s">
        <v>518</v>
      </c>
      <c r="C303" s="26" t="str">
        <f t="shared" si="10"/>
        <v>Typischer Raum</v>
      </c>
      <c r="D303" s="26" t="s">
        <v>36</v>
      </c>
      <c r="E303" s="26" t="s">
        <v>718</v>
      </c>
      <c r="F303" s="26" t="s">
        <v>609</v>
      </c>
      <c r="G303" s="26" t="s">
        <v>766</v>
      </c>
    </row>
    <row r="304" spans="1:7" x14ac:dyDescent="0.3">
      <c r="A304" s="169"/>
      <c r="C304" s="26" t="str">
        <f t="shared" si="10"/>
        <v>Geben Sie hier die Raumbezeichnung ein. Räume der Nebennutzung sind nicht zu erfassen.</v>
      </c>
      <c r="D304" s="26" t="s">
        <v>507</v>
      </c>
      <c r="E304" s="26" t="s">
        <v>719</v>
      </c>
      <c r="F304" s="26" t="s">
        <v>610</v>
      </c>
      <c r="G304" s="26" t="s">
        <v>768</v>
      </c>
    </row>
    <row r="305" spans="1:7" x14ac:dyDescent="0.3">
      <c r="A305" s="169"/>
      <c r="C305" s="26" t="str">
        <f t="shared" si="10"/>
        <v>Fehler</v>
      </c>
      <c r="D305" s="26" t="s">
        <v>531</v>
      </c>
      <c r="E305" s="26" t="s">
        <v>691</v>
      </c>
      <c r="F305" s="26" t="s">
        <v>582</v>
      </c>
      <c r="G305" s="26" t="s">
        <v>664</v>
      </c>
    </row>
    <row r="306" spans="1:7" x14ac:dyDescent="0.3">
      <c r="A306" s="169"/>
      <c r="C306" s="26" t="str">
        <f t="shared" si="10"/>
        <v>Bitte in diesem Feld nur Text erfassen.</v>
      </c>
      <c r="D306" s="26" t="s">
        <v>532</v>
      </c>
      <c r="E306" s="26" t="s">
        <v>720</v>
      </c>
      <c r="F306" s="26" t="s">
        <v>611</v>
      </c>
      <c r="G306" s="26" t="s">
        <v>756</v>
      </c>
    </row>
    <row r="307" spans="1:7" x14ac:dyDescent="0.3">
      <c r="A307" s="169">
        <v>3</v>
      </c>
      <c r="B307" s="26" t="s">
        <v>519</v>
      </c>
      <c r="C307" s="26" t="str">
        <f t="shared" si="10"/>
        <v>Hauptnutzung</v>
      </c>
      <c r="D307" s="26" t="s">
        <v>61</v>
      </c>
      <c r="E307" s="26" t="s">
        <v>721</v>
      </c>
      <c r="F307" s="26" t="s">
        <v>612</v>
      </c>
      <c r="G307" s="26" t="s">
        <v>757</v>
      </c>
    </row>
    <row r="308" spans="1:7" x14ac:dyDescent="0.3">
      <c r="A308" s="169"/>
      <c r="C308" s="26" t="str">
        <f t="shared" si="10"/>
        <v>Wählen Sie einen Eintrag aus der Liste, welcher der Raumnutzung am besten entspricht. Räume der Nebennutzung sind nicht zu erfassen.</v>
      </c>
      <c r="D308" s="26" t="s">
        <v>506</v>
      </c>
      <c r="E308" s="26" t="s">
        <v>722</v>
      </c>
      <c r="F308" s="26" t="s">
        <v>613</v>
      </c>
      <c r="G308" s="26" t="s">
        <v>758</v>
      </c>
    </row>
    <row r="309" spans="1:7" x14ac:dyDescent="0.3">
      <c r="A309" s="169"/>
      <c r="C309" s="26" t="str">
        <f t="shared" si="10"/>
        <v>Fehler</v>
      </c>
      <c r="D309" s="26" t="s">
        <v>531</v>
      </c>
      <c r="E309" s="26" t="s">
        <v>691</v>
      </c>
      <c r="F309" s="26" t="s">
        <v>582</v>
      </c>
      <c r="G309" s="26" t="s">
        <v>664</v>
      </c>
    </row>
    <row r="310" spans="1:7" x14ac:dyDescent="0.3">
      <c r="A310" s="169"/>
      <c r="C310" s="26" t="str">
        <f t="shared" si="10"/>
        <v>Sie müssen einen Eintrag aus der Liste wählen.</v>
      </c>
      <c r="D310" s="26" t="s">
        <v>43</v>
      </c>
      <c r="E310" s="26" t="s">
        <v>711</v>
      </c>
      <c r="F310" s="26" t="s">
        <v>602</v>
      </c>
      <c r="G310" s="26" t="s">
        <v>759</v>
      </c>
    </row>
    <row r="311" spans="1:7" x14ac:dyDescent="0.3">
      <c r="A311" s="169">
        <v>3</v>
      </c>
      <c r="B311" s="26" t="s">
        <v>520</v>
      </c>
      <c r="C311" s="26" t="str">
        <f t="shared" si="10"/>
        <v>Länge</v>
      </c>
      <c r="D311" s="26" t="s">
        <v>508</v>
      </c>
      <c r="E311" s="26" t="s">
        <v>723</v>
      </c>
      <c r="F311" s="26" t="s">
        <v>586</v>
      </c>
      <c r="G311" s="26" t="s">
        <v>754</v>
      </c>
    </row>
    <row r="312" spans="1:7" x14ac:dyDescent="0.3">
      <c r="A312" s="169"/>
      <c r="C312" s="26" t="str">
        <f t="shared" si="10"/>
        <v>Geben Sie die Raumabmessungen ein.</v>
      </c>
      <c r="D312" s="26" t="s">
        <v>509</v>
      </c>
      <c r="E312" s="26" t="s">
        <v>724</v>
      </c>
      <c r="F312" s="26" t="s">
        <v>614</v>
      </c>
      <c r="G312" s="26" t="s">
        <v>755</v>
      </c>
    </row>
    <row r="313" spans="1:7" x14ac:dyDescent="0.3">
      <c r="A313" s="169"/>
      <c r="C313" s="26" t="str">
        <f t="shared" si="10"/>
        <v>Fehler</v>
      </c>
      <c r="D313" s="26" t="s">
        <v>531</v>
      </c>
      <c r="E313" s="26" t="s">
        <v>691</v>
      </c>
      <c r="F313" s="26" t="s">
        <v>582</v>
      </c>
      <c r="G313" s="26" t="s">
        <v>664</v>
      </c>
    </row>
    <row r="314" spans="1:7" x14ac:dyDescent="0.3">
      <c r="A314" s="169"/>
      <c r="C314" s="26" t="str">
        <f t="shared" si="10"/>
        <v>Sie müssen Werte zwischen 0 und 999 eingeben.</v>
      </c>
      <c r="D314" s="26" t="s">
        <v>559</v>
      </c>
      <c r="E314" s="26" t="s">
        <v>697</v>
      </c>
      <c r="F314" s="26" t="s">
        <v>752</v>
      </c>
      <c r="G314" s="26" t="s">
        <v>669</v>
      </c>
    </row>
    <row r="315" spans="1:7" x14ac:dyDescent="0.3">
      <c r="A315" s="169">
        <v>3</v>
      </c>
      <c r="B315" s="26" t="s">
        <v>521</v>
      </c>
      <c r="C315" s="26" t="str">
        <f t="shared" si="10"/>
        <v>Tiefe</v>
      </c>
      <c r="D315" s="26" t="s">
        <v>510</v>
      </c>
      <c r="E315" s="26" t="s">
        <v>726</v>
      </c>
      <c r="F315" s="26" t="s">
        <v>615</v>
      </c>
      <c r="G315" s="26" t="s">
        <v>765</v>
      </c>
    </row>
    <row r="316" spans="1:7" x14ac:dyDescent="0.3">
      <c r="A316" s="169"/>
      <c r="C316" s="26" t="str">
        <f t="shared" si="10"/>
        <v>Geben Sie die Raumabmessungen ein.</v>
      </c>
      <c r="D316" s="26" t="s">
        <v>509</v>
      </c>
      <c r="E316" s="26" t="s">
        <v>724</v>
      </c>
      <c r="F316" s="26" t="s">
        <v>614</v>
      </c>
      <c r="G316" s="26" t="s">
        <v>755</v>
      </c>
    </row>
    <row r="317" spans="1:7" x14ac:dyDescent="0.3">
      <c r="A317" s="169"/>
      <c r="C317" s="26" t="str">
        <f t="shared" si="10"/>
        <v>Fehler</v>
      </c>
      <c r="D317" s="26" t="s">
        <v>531</v>
      </c>
      <c r="E317" s="26" t="s">
        <v>691</v>
      </c>
      <c r="F317" s="26" t="s">
        <v>582</v>
      </c>
      <c r="G317" s="26" t="s">
        <v>664</v>
      </c>
    </row>
    <row r="318" spans="1:7" x14ac:dyDescent="0.3">
      <c r="A318" s="169"/>
      <c r="C318" s="26" t="str">
        <f t="shared" si="10"/>
        <v>Sie müssen Werte zwischen 0 und 999 eingeben.</v>
      </c>
      <c r="D318" s="26" t="s">
        <v>559</v>
      </c>
      <c r="E318" s="26" t="s">
        <v>697</v>
      </c>
      <c r="F318" s="26" t="s">
        <v>752</v>
      </c>
      <c r="G318" s="26" t="s">
        <v>669</v>
      </c>
    </row>
    <row r="319" spans="1:7" x14ac:dyDescent="0.3">
      <c r="A319" s="169">
        <v>3</v>
      </c>
      <c r="B319" s="26" t="s">
        <v>522</v>
      </c>
      <c r="C319" s="26" t="str">
        <f t="shared" ref="C319:C350" si="11">INDEX($D319:$G319,1,MATCH(Sprachwahl,ListSprache,0))</f>
        <v>Höhe</v>
      </c>
      <c r="D319" s="26" t="s">
        <v>68</v>
      </c>
      <c r="E319" s="26" t="s">
        <v>698</v>
      </c>
      <c r="F319" s="26" t="s">
        <v>589</v>
      </c>
      <c r="G319" s="26" t="s">
        <v>674</v>
      </c>
    </row>
    <row r="320" spans="1:7" x14ac:dyDescent="0.3">
      <c r="A320" s="169"/>
      <c r="C320" s="26" t="str">
        <f t="shared" si="11"/>
        <v>Geben Sie die lichte Raumhöhe ein. Falls der Raum verschiedene Raumhöhen aufweist, mitteln Sie die Höhe oder erfassen Sie die Bereiche separat.</v>
      </c>
      <c r="D320" s="26" t="s">
        <v>511</v>
      </c>
      <c r="E320" s="26" t="s">
        <v>727</v>
      </c>
      <c r="F320" s="26" t="s">
        <v>616</v>
      </c>
    </row>
    <row r="321" spans="1:7" x14ac:dyDescent="0.3">
      <c r="A321" s="169"/>
      <c r="C321" s="26" t="str">
        <f t="shared" si="11"/>
        <v>Fehler</v>
      </c>
      <c r="D321" s="26" t="s">
        <v>531</v>
      </c>
      <c r="E321" s="26" t="s">
        <v>691</v>
      </c>
      <c r="F321" s="26" t="s">
        <v>582</v>
      </c>
      <c r="G321" s="26" t="s">
        <v>664</v>
      </c>
    </row>
    <row r="322" spans="1:7" x14ac:dyDescent="0.3">
      <c r="A322" s="169"/>
      <c r="C322" s="26" t="str">
        <f t="shared" si="11"/>
        <v>Sie müssen Werte zwischen 0 und 99 eingeben.</v>
      </c>
      <c r="D322" s="26" t="s">
        <v>561</v>
      </c>
      <c r="E322" s="26" t="s">
        <v>706</v>
      </c>
      <c r="F322" s="26" t="s">
        <v>753</v>
      </c>
      <c r="G322" s="26" t="s">
        <v>670</v>
      </c>
    </row>
    <row r="323" spans="1:7" x14ac:dyDescent="0.3">
      <c r="A323" s="169">
        <v>3</v>
      </c>
      <c r="B323" s="26" t="s">
        <v>523</v>
      </c>
      <c r="C323" s="26" t="str">
        <f t="shared" si="11"/>
        <v>Fläche</v>
      </c>
      <c r="D323" s="26" t="s">
        <v>482</v>
      </c>
      <c r="E323" s="26" t="s">
        <v>728</v>
      </c>
      <c r="F323" s="26" t="s">
        <v>617</v>
      </c>
      <c r="G323" s="26" t="s">
        <v>764</v>
      </c>
    </row>
    <row r="324" spans="1:7" x14ac:dyDescent="0.3">
      <c r="A324" s="169"/>
      <c r="C324" s="26" t="str">
        <f t="shared" si="11"/>
        <v>Falls die Fläche nicht der Multiplikation von Länge und Breite entspricht, geben Sie diese hier ein, ansonsten leer lassen.</v>
      </c>
      <c r="D324" s="26" t="s">
        <v>512</v>
      </c>
      <c r="E324" s="26" t="s">
        <v>729</v>
      </c>
      <c r="F324" s="26" t="s">
        <v>618</v>
      </c>
    </row>
    <row r="325" spans="1:7" x14ac:dyDescent="0.3">
      <c r="A325" s="169"/>
      <c r="C325" s="26" t="str">
        <f t="shared" si="11"/>
        <v>Fehler</v>
      </c>
      <c r="D325" s="26" t="s">
        <v>531</v>
      </c>
      <c r="E325" s="26" t="s">
        <v>691</v>
      </c>
      <c r="F325" s="26" t="s">
        <v>582</v>
      </c>
      <c r="G325" s="26" t="s">
        <v>664</v>
      </c>
    </row>
    <row r="326" spans="1:7" x14ac:dyDescent="0.3">
      <c r="A326" s="169"/>
      <c r="C326" s="26" t="str">
        <f t="shared" si="11"/>
        <v>Sie müssen Werte zwischen 0 und 9999 eingeben.</v>
      </c>
      <c r="D326" s="26" t="s">
        <v>533</v>
      </c>
      <c r="E326" s="26" t="s">
        <v>725</v>
      </c>
      <c r="F326" s="26" t="s">
        <v>588</v>
      </c>
      <c r="G326" s="26" t="s">
        <v>769</v>
      </c>
    </row>
    <row r="327" spans="1:7" x14ac:dyDescent="0.3">
      <c r="A327" s="169">
        <v>3</v>
      </c>
      <c r="B327" s="26" t="s">
        <v>524</v>
      </c>
      <c r="C327" s="26" t="str">
        <f t="shared" si="11"/>
        <v>Anzahl</v>
      </c>
      <c r="D327" s="26" t="s">
        <v>63</v>
      </c>
      <c r="E327" s="26" t="s">
        <v>730</v>
      </c>
      <c r="F327" s="26" t="s">
        <v>619</v>
      </c>
      <c r="G327" s="26" t="s">
        <v>763</v>
      </c>
    </row>
    <row r="328" spans="1:7" x14ac:dyDescent="0.3">
      <c r="A328" s="169"/>
      <c r="C328" s="26" t="str">
        <f t="shared" si="11"/>
        <v>Geben Sie die Gesamtanzahl dieses Raumtyps im Gebäude ein.</v>
      </c>
      <c r="D328" s="26" t="s">
        <v>513</v>
      </c>
      <c r="E328" s="26" t="s">
        <v>731</v>
      </c>
      <c r="F328" s="26" t="s">
        <v>620</v>
      </c>
      <c r="G328" s="26" t="s">
        <v>770</v>
      </c>
    </row>
    <row r="329" spans="1:7" x14ac:dyDescent="0.3">
      <c r="A329" s="169"/>
      <c r="C329" s="26" t="str">
        <f t="shared" si="11"/>
        <v>Fehler</v>
      </c>
      <c r="D329" s="26" t="s">
        <v>531</v>
      </c>
      <c r="E329" s="26" t="s">
        <v>691</v>
      </c>
      <c r="F329" s="26" t="s">
        <v>582</v>
      </c>
      <c r="G329" s="26" t="s">
        <v>664</v>
      </c>
    </row>
    <row r="330" spans="1:7" x14ac:dyDescent="0.3">
      <c r="A330" s="169"/>
      <c r="C330" s="26" t="str">
        <f t="shared" si="11"/>
        <v>Sie müssen Werte zwischen -99 und 999 eingeben.</v>
      </c>
      <c r="D330" s="26" t="s">
        <v>772</v>
      </c>
      <c r="E330" s="26" t="s">
        <v>773</v>
      </c>
      <c r="F330" s="26" t="s">
        <v>774</v>
      </c>
      <c r="G330" s="26" t="s">
        <v>771</v>
      </c>
    </row>
    <row r="331" spans="1:7" x14ac:dyDescent="0.3">
      <c r="A331" s="169">
        <v>3</v>
      </c>
      <c r="B331" s="26" t="s">
        <v>525</v>
      </c>
      <c r="C331" s="26" t="str">
        <f t="shared" si="11"/>
        <v>Raumreflexion</v>
      </c>
      <c r="D331" s="26" t="s">
        <v>113</v>
      </c>
      <c r="E331" s="26" t="s">
        <v>733</v>
      </c>
      <c r="F331" s="26" t="s">
        <v>622</v>
      </c>
      <c r="G331" s="26" t="s">
        <v>762</v>
      </c>
    </row>
    <row r="332" spans="1:7" x14ac:dyDescent="0.3">
      <c r="A332" s="169"/>
      <c r="C332" s="26" t="str">
        <f t="shared" si="11"/>
        <v xml:space="preserve">Wählen Sie einen Eintrag aus der Liste. </v>
      </c>
      <c r="D332" s="26" t="s">
        <v>514</v>
      </c>
      <c r="E332" s="26" t="s">
        <v>734</v>
      </c>
      <c r="F332" s="26" t="s">
        <v>623</v>
      </c>
      <c r="G332" s="26" t="s">
        <v>758</v>
      </c>
    </row>
    <row r="333" spans="1:7" x14ac:dyDescent="0.3">
      <c r="A333" s="169"/>
      <c r="C333" s="26" t="str">
        <f t="shared" si="11"/>
        <v>Fehler</v>
      </c>
      <c r="D333" s="26" t="s">
        <v>531</v>
      </c>
      <c r="E333" s="26" t="s">
        <v>691</v>
      </c>
      <c r="F333" s="26" t="s">
        <v>582</v>
      </c>
      <c r="G333" s="26" t="s">
        <v>664</v>
      </c>
    </row>
    <row r="334" spans="1:7" x14ac:dyDescent="0.3">
      <c r="A334" s="169"/>
      <c r="C334" s="26" t="str">
        <f t="shared" si="11"/>
        <v>Sie müssen einen Eintrag aus der Liste wählen.</v>
      </c>
      <c r="D334" s="26" t="s">
        <v>43</v>
      </c>
      <c r="E334" s="26" t="s">
        <v>711</v>
      </c>
      <c r="F334" s="26" t="s">
        <v>602</v>
      </c>
      <c r="G334" s="26" t="s">
        <v>759</v>
      </c>
    </row>
    <row r="335" spans="1:7" x14ac:dyDescent="0.3">
      <c r="A335" s="169">
        <v>3</v>
      </c>
      <c r="B335" s="26" t="s">
        <v>526</v>
      </c>
      <c r="C335" s="26" t="str">
        <f t="shared" si="11"/>
        <v>Fenstertyp</v>
      </c>
      <c r="D335" s="26" t="s">
        <v>515</v>
      </c>
      <c r="E335" s="26" t="s">
        <v>735</v>
      </c>
      <c r="F335" s="26" t="s">
        <v>624</v>
      </c>
      <c r="G335" s="26" t="s">
        <v>760</v>
      </c>
    </row>
    <row r="336" spans="1:7" x14ac:dyDescent="0.3">
      <c r="A336" s="169"/>
      <c r="C336" s="26" t="str">
        <f t="shared" si="11"/>
        <v>Wählen Sie einen der im Blatt 'Fenster' erfassten Fenstertypen.</v>
      </c>
      <c r="D336" s="26" t="str">
        <f>"Wählen Sie einen der im Blatt '"&amp;Texte!$C$247&amp;"' erfassten Fenstertypen."</f>
        <v>Wählen Sie einen der im Blatt 'Fenster' erfassten Fenstertypen.</v>
      </c>
      <c r="E336" s="26" t="s">
        <v>736</v>
      </c>
      <c r="F336" s="26" t="s">
        <v>625</v>
      </c>
      <c r="G336" s="26" t="s">
        <v>761</v>
      </c>
    </row>
    <row r="337" spans="1:7" x14ac:dyDescent="0.3">
      <c r="A337" s="169"/>
      <c r="C337" s="26" t="str">
        <f t="shared" si="11"/>
        <v>Fehler</v>
      </c>
      <c r="D337" s="26" t="s">
        <v>531</v>
      </c>
      <c r="E337" s="26" t="s">
        <v>691</v>
      </c>
      <c r="F337" s="26" t="s">
        <v>582</v>
      </c>
      <c r="G337" s="26" t="s">
        <v>664</v>
      </c>
    </row>
    <row r="338" spans="1:7" x14ac:dyDescent="0.3">
      <c r="A338" s="169"/>
      <c r="C338" s="26" t="str">
        <f t="shared" si="11"/>
        <v>Sie müssen einen Eintrag aus der Liste wählen.</v>
      </c>
      <c r="D338" s="26" t="s">
        <v>43</v>
      </c>
      <c r="E338" s="26" t="s">
        <v>711</v>
      </c>
      <c r="F338" s="26" t="s">
        <v>602</v>
      </c>
      <c r="G338" s="26" t="s">
        <v>759</v>
      </c>
    </row>
    <row r="339" spans="1:7" x14ac:dyDescent="0.3">
      <c r="A339" s="169">
        <v>3</v>
      </c>
      <c r="B339" s="26" t="s">
        <v>527</v>
      </c>
      <c r="C339" s="26" t="str">
        <f t="shared" si="11"/>
        <v>Anzahl</v>
      </c>
      <c r="D339" s="26" t="s">
        <v>63</v>
      </c>
      <c r="E339" s="26" t="s">
        <v>730</v>
      </c>
      <c r="F339" s="26" t="s">
        <v>619</v>
      </c>
      <c r="G339" s="26" t="s">
        <v>763</v>
      </c>
    </row>
    <row r="340" spans="1:7" x14ac:dyDescent="0.3">
      <c r="A340" s="169"/>
      <c r="C340" s="26" t="str">
        <f t="shared" si="11"/>
        <v>Geben Sie die Gesamtanzahl dieses Fenstertyps ein.</v>
      </c>
      <c r="D340" s="26" t="s">
        <v>535</v>
      </c>
      <c r="E340" s="26" t="s">
        <v>737</v>
      </c>
      <c r="F340" s="26" t="s">
        <v>626</v>
      </c>
      <c r="G340" s="26" t="s">
        <v>775</v>
      </c>
    </row>
    <row r="341" spans="1:7" x14ac:dyDescent="0.3">
      <c r="A341" s="169"/>
      <c r="C341" s="26" t="str">
        <f t="shared" si="11"/>
        <v>Fehler</v>
      </c>
      <c r="D341" s="26" t="s">
        <v>531</v>
      </c>
      <c r="E341" s="26" t="s">
        <v>691</v>
      </c>
      <c r="F341" s="26" t="s">
        <v>582</v>
      </c>
      <c r="G341" s="26" t="s">
        <v>664</v>
      </c>
    </row>
    <row r="342" spans="1:7" x14ac:dyDescent="0.3">
      <c r="A342" s="169"/>
      <c r="C342" s="26" t="str">
        <f t="shared" si="11"/>
        <v>Sie müssen ganzzahlige Werte zwischen 0 und 999 eingeben.</v>
      </c>
      <c r="D342" s="26" t="s">
        <v>534</v>
      </c>
      <c r="E342" s="26" t="s">
        <v>732</v>
      </c>
      <c r="F342" s="26" t="s">
        <v>621</v>
      </c>
      <c r="G342" s="26" t="s">
        <v>669</v>
      </c>
    </row>
    <row r="343" spans="1:7" x14ac:dyDescent="0.3">
      <c r="A343" s="169">
        <v>3</v>
      </c>
      <c r="B343" s="26" t="s">
        <v>528</v>
      </c>
      <c r="C343" s="26" t="str">
        <f t="shared" si="11"/>
        <v>Fenstertyp</v>
      </c>
      <c r="D343" s="26" t="s">
        <v>515</v>
      </c>
      <c r="E343" s="26" t="s">
        <v>735</v>
      </c>
      <c r="F343" s="26" t="s">
        <v>624</v>
      </c>
      <c r="G343" s="26" t="s">
        <v>760</v>
      </c>
    </row>
    <row r="344" spans="1:7" x14ac:dyDescent="0.3">
      <c r="A344" s="169"/>
      <c r="C344" s="26" t="str">
        <f t="shared" si="11"/>
        <v>Wählen Sie einen der im Blatt 'Fenster' erfassten Fenstertypen.</v>
      </c>
      <c r="D344" s="26" t="str">
        <f>"Wählen Sie einen der im Blatt '"&amp;Texte!$C$247&amp;"' erfassten Fenstertypen."</f>
        <v>Wählen Sie einen der im Blatt 'Fenster' erfassten Fenstertypen.</v>
      </c>
      <c r="E344" s="26" t="s">
        <v>736</v>
      </c>
      <c r="F344" s="26" t="s">
        <v>625</v>
      </c>
      <c r="G344" s="26" t="s">
        <v>761</v>
      </c>
    </row>
    <row r="345" spans="1:7" x14ac:dyDescent="0.3">
      <c r="A345" s="169"/>
      <c r="C345" s="26" t="str">
        <f t="shared" si="11"/>
        <v>Fehler</v>
      </c>
      <c r="D345" s="26" t="s">
        <v>531</v>
      </c>
      <c r="E345" s="26" t="s">
        <v>691</v>
      </c>
      <c r="F345" s="26" t="s">
        <v>582</v>
      </c>
      <c r="G345" s="26" t="s">
        <v>664</v>
      </c>
    </row>
    <row r="346" spans="1:7" x14ac:dyDescent="0.3">
      <c r="A346" s="169"/>
      <c r="C346" s="26" t="str">
        <f t="shared" si="11"/>
        <v>Sie müssen einen Eintrag aus der Liste wählen.</v>
      </c>
      <c r="D346" s="26" t="s">
        <v>43</v>
      </c>
      <c r="E346" s="26" t="s">
        <v>711</v>
      </c>
      <c r="F346" s="26" t="s">
        <v>602</v>
      </c>
      <c r="G346" s="26" t="s">
        <v>759</v>
      </c>
    </row>
    <row r="347" spans="1:7" x14ac:dyDescent="0.3">
      <c r="A347" s="169">
        <v>3</v>
      </c>
      <c r="B347" s="26" t="s">
        <v>529</v>
      </c>
      <c r="C347" s="26" t="str">
        <f t="shared" si="11"/>
        <v>Anzahl</v>
      </c>
      <c r="D347" s="26" t="s">
        <v>63</v>
      </c>
      <c r="E347" s="26" t="s">
        <v>730</v>
      </c>
      <c r="F347" s="26" t="s">
        <v>619</v>
      </c>
      <c r="G347" s="26" t="s">
        <v>763</v>
      </c>
    </row>
    <row r="348" spans="1:7" x14ac:dyDescent="0.3">
      <c r="A348" s="169"/>
      <c r="C348" s="26" t="str">
        <f t="shared" si="11"/>
        <v>Geben Sie die Gesamtanzahl dieses Fenstertyps ein.</v>
      </c>
      <c r="D348" s="26" t="s">
        <v>535</v>
      </c>
      <c r="E348" s="26" t="s">
        <v>737</v>
      </c>
      <c r="F348" s="26" t="s">
        <v>626</v>
      </c>
      <c r="G348" s="26" t="s">
        <v>775</v>
      </c>
    </row>
    <row r="349" spans="1:7" x14ac:dyDescent="0.3">
      <c r="A349" s="169"/>
      <c r="C349" s="26" t="str">
        <f t="shared" si="11"/>
        <v>Fehler</v>
      </c>
      <c r="D349" s="26" t="s">
        <v>531</v>
      </c>
      <c r="E349" s="26" t="s">
        <v>691</v>
      </c>
      <c r="F349" s="26" t="s">
        <v>582</v>
      </c>
      <c r="G349" s="26" t="s">
        <v>664</v>
      </c>
    </row>
    <row r="350" spans="1:7" x14ac:dyDescent="0.3">
      <c r="A350" s="169"/>
      <c r="C350" s="26" t="str">
        <f t="shared" si="11"/>
        <v>Sie müssen ganzzahlige Werte zwischen 0 und 999 eingeben.</v>
      </c>
      <c r="D350" s="26" t="s">
        <v>534</v>
      </c>
      <c r="E350" s="26" t="s">
        <v>732</v>
      </c>
      <c r="F350" s="26" t="s">
        <v>621</v>
      </c>
      <c r="G350" s="26" t="s">
        <v>669</v>
      </c>
    </row>
    <row r="351" spans="1:7" x14ac:dyDescent="0.3">
      <c r="A351" s="169">
        <v>3</v>
      </c>
      <c r="B351" s="26" t="s">
        <v>536</v>
      </c>
      <c r="C351" s="26" t="str">
        <f t="shared" ref="C351:C378" si="12">INDEX($D351:$G351,1,MATCH(Sprachwahl,ListSprache,0))</f>
        <v>Fenstertyp</v>
      </c>
      <c r="D351" s="26" t="s">
        <v>515</v>
      </c>
      <c r="E351" s="26" t="s">
        <v>735</v>
      </c>
      <c r="F351" s="26" t="s">
        <v>624</v>
      </c>
      <c r="G351" s="26" t="s">
        <v>760</v>
      </c>
    </row>
    <row r="352" spans="1:7" x14ac:dyDescent="0.3">
      <c r="A352" s="169"/>
      <c r="C352" s="26" t="str">
        <f t="shared" si="12"/>
        <v>Wählen Sie einen der im Blatt 'Fenster' erfassten Fenstertypen.</v>
      </c>
      <c r="D352" s="26" t="str">
        <f>"Wählen Sie einen der im Blatt '"&amp;Texte!$C$247&amp;"' erfassten Fenstertypen."</f>
        <v>Wählen Sie einen der im Blatt 'Fenster' erfassten Fenstertypen.</v>
      </c>
      <c r="E352" s="26" t="s">
        <v>736</v>
      </c>
      <c r="F352" s="26" t="s">
        <v>625</v>
      </c>
      <c r="G352" s="26" t="s">
        <v>761</v>
      </c>
    </row>
    <row r="353" spans="1:7" x14ac:dyDescent="0.3">
      <c r="A353" s="169"/>
      <c r="C353" s="26" t="str">
        <f t="shared" si="12"/>
        <v>Fehler</v>
      </c>
      <c r="D353" s="26" t="s">
        <v>531</v>
      </c>
      <c r="E353" s="26" t="s">
        <v>691</v>
      </c>
      <c r="F353" s="26" t="s">
        <v>582</v>
      </c>
      <c r="G353" s="26" t="s">
        <v>664</v>
      </c>
    </row>
    <row r="354" spans="1:7" x14ac:dyDescent="0.3">
      <c r="A354" s="169"/>
      <c r="C354" s="26" t="str">
        <f t="shared" si="12"/>
        <v>Sie müssen einen Eintrag aus der Liste wählen.</v>
      </c>
      <c r="D354" s="26" t="s">
        <v>43</v>
      </c>
      <c r="E354" s="26" t="s">
        <v>711</v>
      </c>
      <c r="F354" s="26" t="s">
        <v>602</v>
      </c>
      <c r="G354" s="26" t="s">
        <v>759</v>
      </c>
    </row>
    <row r="355" spans="1:7" x14ac:dyDescent="0.3">
      <c r="A355" s="169">
        <v>3</v>
      </c>
      <c r="B355" s="26" t="s">
        <v>537</v>
      </c>
      <c r="C355" s="26" t="str">
        <f t="shared" si="12"/>
        <v>Anzahl</v>
      </c>
      <c r="D355" s="26" t="s">
        <v>63</v>
      </c>
      <c r="E355" s="26" t="s">
        <v>730</v>
      </c>
      <c r="F355" s="26" t="s">
        <v>619</v>
      </c>
      <c r="G355" s="26" t="s">
        <v>763</v>
      </c>
    </row>
    <row r="356" spans="1:7" x14ac:dyDescent="0.3">
      <c r="A356" s="169"/>
      <c r="C356" s="26" t="str">
        <f t="shared" si="12"/>
        <v>Geben Sie die Gesamtanzahl dieses Fenstertyps ein.</v>
      </c>
      <c r="D356" s="26" t="s">
        <v>535</v>
      </c>
      <c r="E356" s="26" t="s">
        <v>737</v>
      </c>
      <c r="F356" s="26" t="s">
        <v>626</v>
      </c>
      <c r="G356" s="26" t="s">
        <v>775</v>
      </c>
    </row>
    <row r="357" spans="1:7" x14ac:dyDescent="0.3">
      <c r="A357" s="169"/>
      <c r="C357" s="26" t="str">
        <f t="shared" si="12"/>
        <v>Fehler</v>
      </c>
      <c r="D357" s="26" t="s">
        <v>531</v>
      </c>
      <c r="E357" s="26" t="s">
        <v>691</v>
      </c>
      <c r="F357" s="26" t="s">
        <v>582</v>
      </c>
      <c r="G357" s="26" t="s">
        <v>664</v>
      </c>
    </row>
    <row r="358" spans="1:7" x14ac:dyDescent="0.3">
      <c r="A358" s="169"/>
      <c r="C358" s="26" t="str">
        <f t="shared" si="12"/>
        <v>Sie müssen ganzzahlige Werte zwischen 0 und 999 eingeben.</v>
      </c>
      <c r="D358" s="26" t="s">
        <v>534</v>
      </c>
      <c r="E358" s="26" t="s">
        <v>732</v>
      </c>
      <c r="F358" s="26" t="s">
        <v>621</v>
      </c>
      <c r="G358" s="26" t="s">
        <v>873</v>
      </c>
    </row>
    <row r="359" spans="1:7" x14ac:dyDescent="0.3">
      <c r="A359" s="169">
        <v>3</v>
      </c>
      <c r="B359" s="26" t="s">
        <v>538</v>
      </c>
      <c r="C359" s="26" t="str">
        <f t="shared" si="12"/>
        <v>Fenstertyp</v>
      </c>
      <c r="D359" s="26" t="s">
        <v>515</v>
      </c>
      <c r="E359" s="26" t="s">
        <v>735</v>
      </c>
      <c r="F359" s="26" t="s">
        <v>624</v>
      </c>
      <c r="G359" s="26" t="s">
        <v>760</v>
      </c>
    </row>
    <row r="360" spans="1:7" x14ac:dyDescent="0.3">
      <c r="A360" s="169"/>
      <c r="C360" s="26" t="str">
        <f t="shared" si="12"/>
        <v>Wählen Sie einen der im Blatt 'Fenster' erfassten Fenstertypen.</v>
      </c>
      <c r="D360" s="26" t="str">
        <f>"Wählen Sie einen der im Blatt '"&amp;Texte!$C$247&amp;"' erfassten Fenstertypen."</f>
        <v>Wählen Sie einen der im Blatt 'Fenster' erfassten Fenstertypen.</v>
      </c>
      <c r="E360" s="26" t="s">
        <v>736</v>
      </c>
      <c r="F360" s="26" t="s">
        <v>625</v>
      </c>
      <c r="G360" s="26" t="s">
        <v>761</v>
      </c>
    </row>
    <row r="361" spans="1:7" x14ac:dyDescent="0.3">
      <c r="A361" s="169"/>
      <c r="C361" s="26" t="str">
        <f t="shared" si="12"/>
        <v>Fehler</v>
      </c>
      <c r="D361" s="26" t="s">
        <v>531</v>
      </c>
      <c r="E361" s="26" t="s">
        <v>691</v>
      </c>
      <c r="F361" s="26" t="s">
        <v>582</v>
      </c>
      <c r="G361" s="26" t="s">
        <v>664</v>
      </c>
    </row>
    <row r="362" spans="1:7" x14ac:dyDescent="0.3">
      <c r="A362" s="169"/>
      <c r="C362" s="26" t="str">
        <f t="shared" si="12"/>
        <v>Sie müssen einen Eintrag aus der Liste wählen.</v>
      </c>
      <c r="D362" s="26" t="s">
        <v>43</v>
      </c>
      <c r="E362" s="26" t="s">
        <v>711</v>
      </c>
      <c r="F362" s="26" t="s">
        <v>602</v>
      </c>
      <c r="G362" s="26" t="s">
        <v>759</v>
      </c>
    </row>
    <row r="363" spans="1:7" x14ac:dyDescent="0.3">
      <c r="A363" s="169">
        <v>3</v>
      </c>
      <c r="B363" s="26" t="s">
        <v>539</v>
      </c>
      <c r="C363" s="26" t="str">
        <f t="shared" si="12"/>
        <v>Anzahl</v>
      </c>
      <c r="D363" s="26" t="s">
        <v>63</v>
      </c>
      <c r="E363" s="26" t="s">
        <v>730</v>
      </c>
      <c r="F363" s="26" t="s">
        <v>619</v>
      </c>
      <c r="G363" s="26" t="s">
        <v>763</v>
      </c>
    </row>
    <row r="364" spans="1:7" x14ac:dyDescent="0.3">
      <c r="A364" s="169"/>
      <c r="C364" s="26" t="str">
        <f t="shared" si="12"/>
        <v>Geben Sie die Gesamtanzahl dieses Fenstertyps ein.</v>
      </c>
      <c r="D364" s="26" t="s">
        <v>535</v>
      </c>
      <c r="E364" s="26" t="s">
        <v>737</v>
      </c>
      <c r="F364" s="26" t="s">
        <v>626</v>
      </c>
      <c r="G364" s="26" t="s">
        <v>775</v>
      </c>
    </row>
    <row r="365" spans="1:7" x14ac:dyDescent="0.3">
      <c r="A365" s="169"/>
      <c r="C365" s="26" t="str">
        <f t="shared" si="12"/>
        <v>Fehler</v>
      </c>
      <c r="D365" s="26" t="s">
        <v>531</v>
      </c>
      <c r="E365" s="26" t="s">
        <v>691</v>
      </c>
      <c r="F365" s="26" t="s">
        <v>582</v>
      </c>
      <c r="G365" s="26" t="s">
        <v>664</v>
      </c>
    </row>
    <row r="366" spans="1:7" x14ac:dyDescent="0.3">
      <c r="A366" s="169"/>
      <c r="C366" s="26" t="str">
        <f t="shared" si="12"/>
        <v>Sie müssen ganzzahlige Werte zwischen 0 und 999 eingeben.</v>
      </c>
      <c r="D366" s="26" t="s">
        <v>534</v>
      </c>
      <c r="E366" s="26" t="s">
        <v>732</v>
      </c>
      <c r="F366" s="26" t="s">
        <v>621</v>
      </c>
      <c r="G366" s="26" t="s">
        <v>669</v>
      </c>
    </row>
    <row r="367" spans="1:7" x14ac:dyDescent="0.3">
      <c r="A367" s="210">
        <v>4</v>
      </c>
      <c r="B367" s="26" t="s">
        <v>519</v>
      </c>
      <c r="C367" s="26" t="str">
        <f t="shared" si="12"/>
        <v>Tiefe genutzter Bereich</v>
      </c>
      <c r="D367" s="26" t="s">
        <v>862</v>
      </c>
      <c r="E367" s="26" t="s">
        <v>904</v>
      </c>
      <c r="F367" s="26" t="s">
        <v>830</v>
      </c>
      <c r="G367" s="26" t="s">
        <v>832</v>
      </c>
    </row>
    <row r="368" spans="1:7" x14ac:dyDescent="0.3">
      <c r="A368" s="210"/>
      <c r="C368" s="26" t="str">
        <f t="shared" si="12"/>
        <v>Geben Sie die Tiefe der von Personen dauernd genutzten Bereiche (gemessen ab Fassade) ein.</v>
      </c>
      <c r="D368" s="26" t="s">
        <v>863</v>
      </c>
      <c r="E368" s="26" t="s">
        <v>875</v>
      </c>
      <c r="F368" s="26" t="s">
        <v>874</v>
      </c>
      <c r="G368" s="26" t="s">
        <v>876</v>
      </c>
    </row>
    <row r="369" spans="1:7" x14ac:dyDescent="0.3">
      <c r="A369" s="210"/>
      <c r="C369" s="26" t="str">
        <f t="shared" si="12"/>
        <v>Fehler</v>
      </c>
      <c r="D369" s="26" t="s">
        <v>531</v>
      </c>
      <c r="E369" s="26" t="s">
        <v>691</v>
      </c>
      <c r="F369" s="26" t="s">
        <v>582</v>
      </c>
      <c r="G369" s="26" t="s">
        <v>664</v>
      </c>
    </row>
    <row r="370" spans="1:7" x14ac:dyDescent="0.3">
      <c r="A370" s="210"/>
      <c r="C370" s="26" t="str">
        <f t="shared" si="12"/>
        <v>Sie müssen Werte zwischen 0 und 999 eingeben.</v>
      </c>
      <c r="D370" s="26" t="s">
        <v>559</v>
      </c>
      <c r="E370" s="26" t="s">
        <v>697</v>
      </c>
      <c r="F370" s="26" t="s">
        <v>752</v>
      </c>
      <c r="G370" s="26" t="s">
        <v>669</v>
      </c>
    </row>
    <row r="371" spans="1:7" x14ac:dyDescent="0.3">
      <c r="A371" s="210">
        <v>4</v>
      </c>
      <c r="B371" s="26" t="s">
        <v>520</v>
      </c>
      <c r="C371" s="26" t="str">
        <f t="shared" si="12"/>
        <v>Sichtweite</v>
      </c>
      <c r="D371" s="26" t="s">
        <v>864</v>
      </c>
      <c r="E371" s="217" t="s">
        <v>989</v>
      </c>
      <c r="F371" s="26" t="s">
        <v>835</v>
      </c>
      <c r="G371" s="26" t="s">
        <v>834</v>
      </c>
    </row>
    <row r="372" spans="1:7" x14ac:dyDescent="0.3">
      <c r="A372" s="210"/>
      <c r="C372" s="26" t="str">
        <f t="shared" si="12"/>
        <v>Geben Sie den Abstand zum nächsten Objekt (gemessen ab Fassade) ein.</v>
      </c>
      <c r="D372" s="26" t="s">
        <v>865</v>
      </c>
      <c r="E372" s="217" t="s">
        <v>990</v>
      </c>
      <c r="F372" s="26" t="s">
        <v>872</v>
      </c>
      <c r="G372" s="26" t="s">
        <v>871</v>
      </c>
    </row>
    <row r="373" spans="1:7" x14ac:dyDescent="0.3">
      <c r="A373" s="210"/>
      <c r="C373" s="26" t="str">
        <f t="shared" si="12"/>
        <v>Fehler</v>
      </c>
      <c r="D373" s="26" t="s">
        <v>531</v>
      </c>
      <c r="E373" s="26" t="s">
        <v>691</v>
      </c>
      <c r="F373" s="26" t="s">
        <v>582</v>
      </c>
      <c r="G373" s="26" t="s">
        <v>664</v>
      </c>
    </row>
    <row r="374" spans="1:7" x14ac:dyDescent="0.3">
      <c r="A374" s="210"/>
      <c r="C374" s="26" t="str">
        <f t="shared" si="12"/>
        <v>Sie müssen ganzzahlige Werte zwischen 0 und 9999 eingeben.</v>
      </c>
      <c r="D374" s="26" t="s">
        <v>866</v>
      </c>
      <c r="E374" s="26" t="s">
        <v>732</v>
      </c>
      <c r="F374" s="26" t="s">
        <v>621</v>
      </c>
      <c r="G374" s="26" t="s">
        <v>873</v>
      </c>
    </row>
    <row r="375" spans="1:7" x14ac:dyDescent="0.3">
      <c r="A375" s="210">
        <v>4</v>
      </c>
      <c r="B375" s="26" t="s">
        <v>521</v>
      </c>
      <c r="C375" s="26" t="str">
        <f t="shared" si="12"/>
        <v>Sichtebene</v>
      </c>
      <c r="D375" s="26" t="s">
        <v>790</v>
      </c>
      <c r="E375" s="26" t="s">
        <v>868</v>
      </c>
      <c r="F375" s="26" t="s">
        <v>869</v>
      </c>
      <c r="G375" s="26" t="s">
        <v>870</v>
      </c>
    </row>
    <row r="376" spans="1:7" x14ac:dyDescent="0.3">
      <c r="A376" s="210"/>
      <c r="C376" s="26" t="str">
        <f t="shared" si="12"/>
        <v>Wählen Sie die vom entferntesten Punkt aus in einer Höhe von 1.2 Meter (sitzende Tätigkeit) bzw. 1.7 Meter (stehende Tätigkeit) beim Blick durchs Fenster sichtbaren Ebenen.</v>
      </c>
      <c r="D376" s="26" t="s">
        <v>867</v>
      </c>
      <c r="E376" s="26" t="s">
        <v>879</v>
      </c>
      <c r="F376" s="26" t="s">
        <v>878</v>
      </c>
      <c r="G376" s="26" t="s">
        <v>877</v>
      </c>
    </row>
    <row r="377" spans="1:7" x14ac:dyDescent="0.3">
      <c r="A377" s="210"/>
      <c r="C377" s="26" t="str">
        <f t="shared" si="12"/>
        <v>Fehler</v>
      </c>
      <c r="D377" s="26" t="s">
        <v>531</v>
      </c>
      <c r="E377" s="26" t="s">
        <v>691</v>
      </c>
      <c r="F377" s="26" t="s">
        <v>582</v>
      </c>
      <c r="G377" s="26" t="s">
        <v>664</v>
      </c>
    </row>
    <row r="378" spans="1:7" x14ac:dyDescent="0.3">
      <c r="A378" s="210"/>
      <c r="C378" s="26" t="str">
        <f t="shared" si="12"/>
        <v>Sie müssen einen Eintrag aus der Liste wählen.</v>
      </c>
      <c r="D378" s="26" t="s">
        <v>43</v>
      </c>
      <c r="E378" s="26" t="s">
        <v>711</v>
      </c>
      <c r="F378" s="26" t="s">
        <v>602</v>
      </c>
      <c r="G378" s="26" t="s">
        <v>759</v>
      </c>
    </row>
  </sheetData>
  <sheetProtection algorithmName="SHA-512" hashValue="2hI62KgzLxYhhzxEH/7GQQIytkLI9Xg6ohcl3J1EfC+pYjBJp5IDyrN4CqyJa+w4/blP5FpVqst+Z+LyVUCaZA==" saltValue="q7sIaFjGcp0MDalmQifxhA==" spinCount="100000" sheet="1" objects="1" scenarios="1"/>
  <hyperlinks>
    <hyperlink ref="F232" r:id="rId1" display="https://www.linguee.de/deutsch-englisch/uebersetzung/Restaurants.html" xr:uid="{1583C7CA-8D89-4663-B1CF-77F0521F2EED}"/>
  </hyperlinks>
  <pageMargins left="0.7" right="0.7" top="0.78740157499999996" bottom="0.78740157499999996" header="0.3" footer="0.3"/>
  <pageSetup paperSize="9" orientation="portrait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31"/>
  <sheetViews>
    <sheetView workbookViewId="0"/>
  </sheetViews>
  <sheetFormatPr baseColWidth="10" defaultRowHeight="15" x14ac:dyDescent="0.35"/>
  <cols>
    <col min="1" max="1" width="11.0625" style="218"/>
    <col min="2" max="2" width="73.25" customWidth="1"/>
    <col min="3" max="4" width="11.0625" style="218"/>
  </cols>
  <sheetData>
    <row r="1" spans="1:4" ht="22.3" x14ac:dyDescent="0.5">
      <c r="A1" s="224" t="s">
        <v>893</v>
      </c>
    </row>
    <row r="2" spans="1:4" x14ac:dyDescent="0.35">
      <c r="A2" s="225"/>
    </row>
    <row r="3" spans="1:4" x14ac:dyDescent="0.35">
      <c r="A3" s="219" t="s">
        <v>894</v>
      </c>
      <c r="B3" s="37" t="s">
        <v>895</v>
      </c>
      <c r="C3" s="219" t="s">
        <v>896</v>
      </c>
      <c r="D3" s="219" t="s">
        <v>897</v>
      </c>
    </row>
    <row r="4" spans="1:4" x14ac:dyDescent="0.35">
      <c r="A4" s="222">
        <v>2.0099999999999998</v>
      </c>
      <c r="B4" s="19" t="s">
        <v>898</v>
      </c>
      <c r="C4" s="220">
        <v>43106</v>
      </c>
      <c r="D4" s="221" t="s">
        <v>946</v>
      </c>
    </row>
    <row r="5" spans="1:4" x14ac:dyDescent="0.35">
      <c r="A5" s="222">
        <v>2.1</v>
      </c>
      <c r="B5" s="19" t="s">
        <v>899</v>
      </c>
      <c r="C5" s="220">
        <v>43830</v>
      </c>
      <c r="D5" s="221" t="s">
        <v>946</v>
      </c>
    </row>
    <row r="6" spans="1:4" x14ac:dyDescent="0.35">
      <c r="A6" s="222">
        <v>2.11</v>
      </c>
      <c r="B6" s="19" t="s">
        <v>905</v>
      </c>
      <c r="C6" s="220">
        <v>44221</v>
      </c>
      <c r="D6" s="221" t="s">
        <v>946</v>
      </c>
    </row>
    <row r="7" spans="1:4" x14ac:dyDescent="0.35">
      <c r="A7" s="222">
        <v>2.12</v>
      </c>
      <c r="B7" s="19" t="s">
        <v>910</v>
      </c>
      <c r="C7" s="220">
        <v>45183</v>
      </c>
      <c r="D7" s="221" t="s">
        <v>946</v>
      </c>
    </row>
    <row r="8" spans="1:4" x14ac:dyDescent="0.35">
      <c r="A8" s="232">
        <v>2023.1</v>
      </c>
      <c r="B8" s="19" t="s">
        <v>944</v>
      </c>
      <c r="C8" s="220">
        <v>45218</v>
      </c>
      <c r="D8" s="221" t="s">
        <v>931</v>
      </c>
    </row>
    <row r="9" spans="1:4" x14ac:dyDescent="0.35">
      <c r="A9" s="232">
        <v>2023.1</v>
      </c>
      <c r="B9" s="19" t="s">
        <v>947</v>
      </c>
      <c r="C9" s="220">
        <v>45230</v>
      </c>
      <c r="D9" s="221" t="s">
        <v>931</v>
      </c>
    </row>
    <row r="10" spans="1:4" x14ac:dyDescent="0.35">
      <c r="A10" s="232">
        <v>2023.1</v>
      </c>
      <c r="B10" s="19" t="s">
        <v>945</v>
      </c>
      <c r="C10" s="220">
        <v>45238</v>
      </c>
      <c r="D10" s="221" t="s">
        <v>931</v>
      </c>
    </row>
    <row r="11" spans="1:4" x14ac:dyDescent="0.35">
      <c r="A11" s="222">
        <v>2.13</v>
      </c>
      <c r="B11" s="19" t="s">
        <v>914</v>
      </c>
      <c r="C11" s="220">
        <v>45407</v>
      </c>
      <c r="D11" s="221" t="s">
        <v>946</v>
      </c>
    </row>
    <row r="12" spans="1:4" x14ac:dyDescent="0.35">
      <c r="A12" s="231">
        <v>2023.2</v>
      </c>
      <c r="B12" s="19" t="s">
        <v>1018</v>
      </c>
      <c r="C12" s="220">
        <v>45618</v>
      </c>
      <c r="D12" s="221" t="s">
        <v>931</v>
      </c>
    </row>
    <row r="13" spans="1:4" x14ac:dyDescent="0.35">
      <c r="A13" s="231">
        <v>2023.2</v>
      </c>
      <c r="B13" s="19" t="s">
        <v>1042</v>
      </c>
      <c r="C13" s="220">
        <v>45629</v>
      </c>
      <c r="D13" s="221" t="s">
        <v>931</v>
      </c>
    </row>
    <row r="14" spans="1:4" x14ac:dyDescent="0.35">
      <c r="A14" s="231"/>
      <c r="B14" s="19"/>
      <c r="C14" s="220"/>
      <c r="D14" s="221"/>
    </row>
    <row r="15" spans="1:4" x14ac:dyDescent="0.35">
      <c r="A15" s="231"/>
      <c r="B15" s="19"/>
      <c r="C15" s="220"/>
      <c r="D15" s="221"/>
    </row>
    <row r="16" spans="1:4" x14ac:dyDescent="0.35">
      <c r="A16" s="231"/>
      <c r="B16" s="19"/>
      <c r="C16" s="220"/>
      <c r="D16" s="221"/>
    </row>
    <row r="17" spans="1:4" x14ac:dyDescent="0.35">
      <c r="A17" s="231"/>
      <c r="B17" s="19"/>
      <c r="C17" s="220"/>
      <c r="D17" s="221"/>
    </row>
    <row r="18" spans="1:4" x14ac:dyDescent="0.35">
      <c r="A18" s="231"/>
      <c r="B18" s="19"/>
      <c r="C18" s="220"/>
      <c r="D18" s="221"/>
    </row>
    <row r="19" spans="1:4" x14ac:dyDescent="0.35">
      <c r="A19" s="231"/>
      <c r="B19" s="19"/>
      <c r="C19" s="220"/>
      <c r="D19" s="221"/>
    </row>
    <row r="20" spans="1:4" x14ac:dyDescent="0.35">
      <c r="A20" s="231"/>
      <c r="B20" s="19"/>
      <c r="C20" s="220"/>
      <c r="D20" s="221"/>
    </row>
    <row r="21" spans="1:4" x14ac:dyDescent="0.35">
      <c r="A21" s="231"/>
      <c r="B21" s="19"/>
      <c r="C21" s="220"/>
      <c r="D21" s="221"/>
    </row>
    <row r="22" spans="1:4" x14ac:dyDescent="0.35">
      <c r="A22" s="231"/>
      <c r="B22" s="19"/>
      <c r="C22" s="220"/>
      <c r="D22" s="221"/>
    </row>
    <row r="23" spans="1:4" x14ac:dyDescent="0.35">
      <c r="A23" s="231"/>
      <c r="B23" s="19"/>
      <c r="C23" s="220"/>
      <c r="D23" s="221"/>
    </row>
    <row r="24" spans="1:4" x14ac:dyDescent="0.35">
      <c r="A24" s="231"/>
      <c r="B24" s="19"/>
      <c r="C24" s="220"/>
      <c r="D24" s="221"/>
    </row>
    <row r="25" spans="1:4" x14ac:dyDescent="0.35">
      <c r="A25" s="231"/>
      <c r="B25" s="19"/>
      <c r="C25" s="220"/>
      <c r="D25" s="221"/>
    </row>
    <row r="26" spans="1:4" x14ac:dyDescent="0.35">
      <c r="A26" s="231"/>
      <c r="B26" s="19"/>
      <c r="C26" s="220"/>
      <c r="D26" s="221"/>
    </row>
    <row r="27" spans="1:4" x14ac:dyDescent="0.35">
      <c r="A27" s="231"/>
      <c r="B27" s="19"/>
      <c r="C27" s="220"/>
      <c r="D27" s="221"/>
    </row>
    <row r="28" spans="1:4" x14ac:dyDescent="0.35">
      <c r="A28" s="231"/>
      <c r="B28" s="19"/>
      <c r="C28" s="220"/>
      <c r="D28" s="221"/>
    </row>
    <row r="29" spans="1:4" x14ac:dyDescent="0.35">
      <c r="A29" s="231"/>
      <c r="B29" s="19"/>
      <c r="C29" s="220"/>
      <c r="D29" s="221"/>
    </row>
    <row r="30" spans="1:4" x14ac:dyDescent="0.35">
      <c r="A30" s="231"/>
      <c r="B30" s="19"/>
      <c r="C30" s="220"/>
      <c r="D30" s="221"/>
    </row>
    <row r="31" spans="1:4" x14ac:dyDescent="0.35">
      <c r="A31" s="223" cm="1">
        <f t="array" ref="A31">_xlfn.SINGLE(INDEX($A$4:$A$30,SUMPRODUCT(MAX(($A$4:$A$30&lt;&gt;"")*ROW($A$4:$A$30)))-3,1))</f>
        <v>2023.2</v>
      </c>
      <c r="B31" s="37"/>
      <c r="C31" s="219"/>
      <c r="D31" s="219"/>
    </row>
  </sheetData>
  <sheetProtection algorithmName="SHA-512" hashValue="v5cEEG/H8xH1TY4PSkRLO5Dd6qffVm1S4asrutWaIyVwPjyHVZTsC4Lzn8ts26AHIJZ4nru4oQNxxnhs4NV2HQ==" saltValue="0a279BhvOP7B5825VpujFg==" spinCount="100000" sheet="1" objects="1" scenario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CFC628C8AF54D8914200001F2C70D" ma:contentTypeVersion="15" ma:contentTypeDescription="Create a new document." ma:contentTypeScope="" ma:versionID="fbd0640b3d306804672d321c1ab9023d">
  <xsd:schema xmlns:xsd="http://www.w3.org/2001/XMLSchema" xmlns:xs="http://www.w3.org/2001/XMLSchema" xmlns:p="http://schemas.microsoft.com/office/2006/metadata/properties" xmlns:ns2="19415a2c-3045-4769-8042-b2d573daa356" xmlns:ns3="f9ded8a6-640d-4e2b-81aa-3f415abfbf2d" targetNamespace="http://schemas.microsoft.com/office/2006/metadata/properties" ma:root="true" ma:fieldsID="f584a69666580f70eee65f3c3a94f408" ns2:_="" ns3:_="">
    <xsd:import namespace="19415a2c-3045-4769-8042-b2d573daa356"/>
    <xsd:import namespace="f9ded8a6-640d-4e2b-81aa-3f415abfbf2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415a2c-3045-4769-8042-b2d573daa35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7" nillable="true" ma:displayName="Taxonomy Catch All Column" ma:hidden="true" ma:list="{c27ef632-850c-4879-9790-cfc821f43517}" ma:internalName="TaxCatchAll" ma:showField="CatchAllData" ma:web="19415a2c-3045-4769-8042-b2d573daa3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ed8a6-640d-4e2b-81aa-3f415abfbf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2125980-255a-4cd1-b09b-d6884cbb7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9ded8a6-640d-4e2b-81aa-3f415abfbf2d">
      <Terms xmlns="http://schemas.microsoft.com/office/infopath/2007/PartnerControls"/>
    </lcf76f155ced4ddcb4097134ff3c332f>
    <TaxCatchAll xmlns="19415a2c-3045-4769-8042-b2d573daa356" xsi:nil="true"/>
    <_dlc_DocId xmlns="19415a2c-3045-4769-8042-b2d573daa356">SKCW24DMUQ4M-227545371-611708</_dlc_DocId>
    <_dlc_DocIdUrl xmlns="19415a2c-3045-4769-8042-b2d573daa356">
      <Url>https://mst239701.sharepoint.com/sites/Files/_layouts/15/DocIdRedir.aspx?ID=SKCW24DMUQ4M-227545371-611708</Url>
      <Description>SKCW24DMUQ4M-227545371-611708</Description>
    </_dlc_DocIdUrl>
  </documentManagement>
</p:properties>
</file>

<file path=customXml/itemProps1.xml><?xml version="1.0" encoding="utf-8"?>
<ds:datastoreItem xmlns:ds="http://schemas.openxmlformats.org/officeDocument/2006/customXml" ds:itemID="{12D79D31-E96F-4CC1-B850-9F10C75E979A}"/>
</file>

<file path=customXml/itemProps2.xml><?xml version="1.0" encoding="utf-8"?>
<ds:datastoreItem xmlns:ds="http://schemas.openxmlformats.org/officeDocument/2006/customXml" ds:itemID="{E137EA9A-8956-4371-BCB0-21B1EC96434A}"/>
</file>

<file path=customXml/itemProps3.xml><?xml version="1.0" encoding="utf-8"?>
<ds:datastoreItem xmlns:ds="http://schemas.openxmlformats.org/officeDocument/2006/customXml" ds:itemID="{8F2FA03C-B6EF-4193-8040-1EB213B714B7}"/>
</file>

<file path=customXml/itemProps4.xml><?xml version="1.0" encoding="utf-8"?>
<ds:datastoreItem xmlns:ds="http://schemas.openxmlformats.org/officeDocument/2006/customXml" ds:itemID="{DC53D8B2-FF61-46D8-AA37-BA0E4349ACD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56</vt:i4>
      </vt:variant>
    </vt:vector>
  </HeadingPairs>
  <TitlesOfParts>
    <vt:vector size="64" baseType="lpstr">
      <vt:lpstr>Überblick</vt:lpstr>
      <vt:lpstr>Fenster</vt:lpstr>
      <vt:lpstr>Tageslicht</vt:lpstr>
      <vt:lpstr>Ausblick</vt:lpstr>
      <vt:lpstr>Fragenkatalog_Erneuerung</vt:lpstr>
      <vt:lpstr>Constants</vt:lpstr>
      <vt:lpstr>Texte</vt:lpstr>
      <vt:lpstr>Versionierung</vt:lpstr>
      <vt:lpstr>Antwort_simp</vt:lpstr>
      <vt:lpstr>Bauvorhaben</vt:lpstr>
      <vt:lpstr>Befriedigend</vt:lpstr>
      <vt:lpstr>Ausblick!Druckbereich</vt:lpstr>
      <vt:lpstr>Fenster!Druckbereich</vt:lpstr>
      <vt:lpstr>Fragenkatalog_Erneuerung!Druckbereich</vt:lpstr>
      <vt:lpstr>Tageslicht!Druckbereich</vt:lpstr>
      <vt:lpstr>Überblick!Druckbereich</vt:lpstr>
      <vt:lpstr>Druckbereich</vt:lpstr>
      <vt:lpstr>Tageslicht!Drucktitel</vt:lpstr>
      <vt:lpstr>Erneuerung</vt:lpstr>
      <vt:lpstr>Gut</vt:lpstr>
      <vt:lpstr>Ja</vt:lpstr>
      <vt:lpstr>JaNein</vt:lpstr>
      <vt:lpstr>ListAussicht</vt:lpstr>
      <vt:lpstr>ListAussichtQ</vt:lpstr>
      <vt:lpstr>ListBauvorhaben</vt:lpstr>
      <vt:lpstr>ListBeleuchtung</vt:lpstr>
      <vt:lpstr>ListHorizont</vt:lpstr>
      <vt:lpstr>ListNutzung</vt:lpstr>
      <vt:lpstr>ListOrientierung</vt:lpstr>
      <vt:lpstr>ListRaumReflex</vt:lpstr>
      <vt:lpstr>ListSoControl</vt:lpstr>
      <vt:lpstr>ListSoSchu</vt:lpstr>
      <vt:lpstr>ListSprache</vt:lpstr>
      <vt:lpstr>MatrixAussicht</vt:lpstr>
      <vt:lpstr>MatrixBauvorhaben</vt:lpstr>
      <vt:lpstr>MatrixBeleuchtung</vt:lpstr>
      <vt:lpstr>MatrixHorizont</vt:lpstr>
      <vt:lpstr>MatrixNutzung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Neubau</vt:lpstr>
      <vt:lpstr>Nutzung</vt:lpstr>
      <vt:lpstr>Password</vt:lpstr>
      <vt:lpstr>Projektbez</vt:lpstr>
      <vt:lpstr>Renovationsfaktor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Basil Monkewitz</cp:lastModifiedBy>
  <cp:lastPrinted>2024-12-03T08:57:52Z</cp:lastPrinted>
  <dcterms:created xsi:type="dcterms:W3CDTF">1999-01-20T17:37:13Z</dcterms:created>
  <dcterms:modified xsi:type="dcterms:W3CDTF">2024-12-03T14:26:42Z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0x010100B21CFC628C8AF54D8914200001F2C70D</vt:lpwstr>
  </property>
  <property fmtid="{D5CDD505-2E9C-101B-9397-08002B2CF9AE}" pid="3" name="_dlc_DocIdItemGuid">
    <vt:lpwstr>54e136b8-4376-443d-8052-bbd10dca1379</vt:lpwstr>
  </property>
</Properties>
</file>